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 Working\5. CERC\approach paper\6. 1st amendment\27.9.2024_1st amendment comments\Tax\"/>
    </mc:Choice>
  </mc:AlternateContent>
  <bookViews>
    <workbookView xWindow="-120" yWindow="-120" windowWidth="29040" windowHeight="15720" tabRatio="839" firstSheet="3" activeTab="3"/>
  </bookViews>
  <sheets>
    <sheet name="Loss" sheetId="36" state="hidden" r:id="rId1"/>
    <sheet name="1.Eff.tax  rate (distrtn)" sheetId="28" state="hidden" r:id="rId2"/>
    <sheet name="Loss." sheetId="37" state="hidden" r:id="rId3"/>
    <sheet name="Sheet2" sheetId="51" r:id="rId4"/>
    <sheet name="MERC-EM" sheetId="43" state="hidden" r:id="rId5"/>
    <sheet name="Loss &amp; MAT Cr" sheetId="44" state="hidden" r:id="rId6"/>
    <sheet name="Sheet1" sheetId="46" state="hidden" r:id="rId7"/>
    <sheet name="Correction-formula" sheetId="45" state="hidden" r:id="rId8"/>
    <sheet name="MAT Cr,DTL" sheetId="41" state="hidden" r:id="rId9"/>
    <sheet name="MAT schedl (abridged)" sheetId="10" state="hidden" r:id="rId10"/>
    <sheet name="MAT schedule dtl" sheetId="11" state="hidden" r:id="rId11"/>
    <sheet name="P&amp;L" sheetId="22" state="hidden" r:id="rId12"/>
  </sheets>
  <definedNames>
    <definedName name="_xlnm.Print_Area" localSheetId="1">'1.Eff.tax  rate (distrtn)'!$A$2:$K$71</definedName>
    <definedName name="_xlnm.Print_Area" localSheetId="9">'MAT schedl (abridged)'!$A$1:$J$34</definedName>
  </definedNames>
  <calcPr calcId="152511"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 i="51" l="1"/>
  <c r="S13" i="51"/>
  <c r="R7" i="51"/>
  <c r="F9" i="51"/>
  <c r="F10" i="51" s="1"/>
  <c r="N20" i="51"/>
  <c r="N19" i="51"/>
  <c r="F19" i="51"/>
  <c r="F11" i="51" l="1"/>
  <c r="F14" i="51" l="1"/>
  <c r="F16" i="51" s="1"/>
  <c r="F18" i="51" l="1"/>
  <c r="F17" i="51"/>
  <c r="F12" i="51" s="1"/>
  <c r="G12" i="51" s="1"/>
  <c r="G14" i="51"/>
  <c r="T15" i="37" l="1"/>
  <c r="T17" i="37" s="1"/>
  <c r="U15" i="37"/>
  <c r="U17" i="37" s="1"/>
  <c r="V15" i="37"/>
  <c r="V17" i="37" s="1"/>
  <c r="W15" i="37"/>
  <c r="W17" i="37" s="1"/>
  <c r="X15" i="37"/>
  <c r="Y15" i="37"/>
  <c r="Z15" i="37"/>
  <c r="Z17" i="37" s="1"/>
  <c r="AA15" i="37"/>
  <c r="AA17" i="37" s="1"/>
  <c r="AB15" i="37"/>
  <c r="AB17" i="37" s="1"/>
  <c r="AC15" i="37"/>
  <c r="AC17" i="37" s="1"/>
  <c r="O15" i="37"/>
  <c r="P15" i="37"/>
  <c r="Q15" i="37"/>
  <c r="R15" i="37"/>
  <c r="R17" i="37" s="1"/>
  <c r="S15" i="37"/>
  <c r="Q17" i="37"/>
  <c r="S17" i="37"/>
  <c r="L7" i="46"/>
  <c r="H14" i="46"/>
  <c r="Q14" i="46"/>
  <c r="H15" i="46"/>
  <c r="Q15" i="46"/>
  <c r="H16" i="46"/>
  <c r="Q16" i="46"/>
  <c r="Q8" i="46"/>
  <c r="Q9" i="46"/>
  <c r="Q10" i="46"/>
  <c r="Q11" i="46"/>
  <c r="Q12" i="46"/>
  <c r="Q13" i="46"/>
  <c r="Q7" i="46"/>
  <c r="H12" i="46"/>
  <c r="H13" i="46"/>
  <c r="M7" i="46"/>
  <c r="H11" i="46"/>
  <c r="H10" i="46"/>
  <c r="I7" i="46"/>
  <c r="H9" i="46"/>
  <c r="H8" i="46"/>
  <c r="G7" i="46"/>
  <c r="J7" i="46" s="1"/>
  <c r="K7" i="46" s="1"/>
  <c r="H7" i="46"/>
  <c r="Y17" i="37" l="1"/>
  <c r="X17" i="37"/>
  <c r="P17" i="37"/>
  <c r="O17" i="37"/>
  <c r="N7" i="46"/>
  <c r="O7" i="46"/>
  <c r="P7" i="46" s="1"/>
  <c r="F8" i="46"/>
  <c r="H33" i="45"/>
  <c r="G33" i="45"/>
  <c r="G34" i="45" s="1"/>
  <c r="G36" i="45" s="1"/>
  <c r="F33" i="45"/>
  <c r="E33" i="45"/>
  <c r="D33" i="45"/>
  <c r="H32" i="45"/>
  <c r="G32" i="45"/>
  <c r="F32" i="45"/>
  <c r="E32" i="45"/>
  <c r="D32" i="45"/>
  <c r="H31" i="45"/>
  <c r="G31" i="45"/>
  <c r="F31" i="45"/>
  <c r="E31" i="45"/>
  <c r="E34" i="45" s="1"/>
  <c r="E36" i="45" s="1"/>
  <c r="D31" i="45"/>
  <c r="H27" i="45"/>
  <c r="G27" i="45"/>
  <c r="F27" i="45"/>
  <c r="E27" i="45"/>
  <c r="D27" i="45"/>
  <c r="H25" i="45"/>
  <c r="H26" i="45" s="1"/>
  <c r="G25" i="45"/>
  <c r="G26" i="45" s="1"/>
  <c r="G28" i="45" s="1"/>
  <c r="F25" i="45"/>
  <c r="F26" i="45" s="1"/>
  <c r="F28" i="45" s="1"/>
  <c r="E25" i="45"/>
  <c r="E26" i="45" s="1"/>
  <c r="E28" i="45" s="1"/>
  <c r="D25" i="45"/>
  <c r="D26" i="45" s="1"/>
  <c r="D28" i="45" s="1"/>
  <c r="H16" i="45"/>
  <c r="G16" i="45"/>
  <c r="F16" i="45"/>
  <c r="E16" i="45"/>
  <c r="D16" i="45"/>
  <c r="D15" i="45"/>
  <c r="H14" i="45"/>
  <c r="H17" i="45" s="1"/>
  <c r="G14" i="45"/>
  <c r="F14" i="45"/>
  <c r="E14" i="45"/>
  <c r="D14" i="45"/>
  <c r="H13" i="45"/>
  <c r="G13" i="45"/>
  <c r="F13" i="45"/>
  <c r="E13" i="45"/>
  <c r="E17" i="45" s="1"/>
  <c r="E18" i="45" s="1"/>
  <c r="E19" i="45" s="1"/>
  <c r="E22" i="45" s="1"/>
  <c r="D13" i="45"/>
  <c r="D17" i="45" s="1"/>
  <c r="H7" i="45"/>
  <c r="H9" i="45" s="1"/>
  <c r="G7" i="45"/>
  <c r="G9" i="45" s="1"/>
  <c r="F7" i="45"/>
  <c r="F9" i="45" s="1"/>
  <c r="E7" i="45"/>
  <c r="E9" i="45" s="1"/>
  <c r="D7" i="45"/>
  <c r="D9" i="45" s="1"/>
  <c r="H34" i="45" l="1"/>
  <c r="H36" i="45" s="1"/>
  <c r="F34" i="45"/>
  <c r="F36" i="45" s="1"/>
  <c r="H15" i="45"/>
  <c r="D34" i="45"/>
  <c r="D36" i="45" s="1"/>
  <c r="G15" i="45"/>
  <c r="F15" i="45"/>
  <c r="F17" i="45"/>
  <c r="F18" i="45" s="1"/>
  <c r="F19" i="45" s="1"/>
  <c r="F22" i="45" s="1"/>
  <c r="F29" i="45" s="1"/>
  <c r="G17" i="45"/>
  <c r="G18" i="45" s="1"/>
  <c r="G19" i="45" s="1"/>
  <c r="G22" i="45" s="1"/>
  <c r="G29" i="45" s="1"/>
  <c r="H28" i="45"/>
  <c r="H29" i="45" s="1"/>
  <c r="M8" i="46"/>
  <c r="I8" i="46"/>
  <c r="G8" i="46"/>
  <c r="F9" i="46" s="1"/>
  <c r="H18" i="45"/>
  <c r="H19" i="45" s="1"/>
  <c r="H22" i="45" s="1"/>
  <c r="E29" i="45"/>
  <c r="E37" i="45"/>
  <c r="F37" i="45"/>
  <c r="G37" i="45"/>
  <c r="D29" i="45"/>
  <c r="D37" i="45"/>
  <c r="D18" i="45"/>
  <c r="D19" i="45" s="1"/>
  <c r="D22" i="45" s="1"/>
  <c r="E15" i="45"/>
  <c r="H37" i="45" l="1"/>
  <c r="J8" i="46"/>
  <c r="K8" i="46" s="1"/>
  <c r="N14" i="44"/>
  <c r="N16" i="44" s="1"/>
  <c r="M14" i="44"/>
  <c r="L14" i="44"/>
  <c r="L16" i="44" s="1"/>
  <c r="K14" i="44"/>
  <c r="J14" i="44"/>
  <c r="J16" i="44" s="1"/>
  <c r="I14" i="44"/>
  <c r="H14" i="44"/>
  <c r="H16" i="44" s="1"/>
  <c r="G14" i="44"/>
  <c r="G16" i="44" s="1"/>
  <c r="F14" i="44"/>
  <c r="F16" i="44" s="1"/>
  <c r="E14" i="44"/>
  <c r="E17" i="44" s="1"/>
  <c r="I14" i="43"/>
  <c r="I16" i="43" s="1"/>
  <c r="H14" i="43"/>
  <c r="H16" i="43" s="1"/>
  <c r="G14" i="43"/>
  <c r="G16" i="43" s="1"/>
  <c r="E14" i="43"/>
  <c r="E17" i="43" s="1"/>
  <c r="L8" i="46" l="1"/>
  <c r="N8" i="46" s="1"/>
  <c r="M9" i="46" s="1"/>
  <c r="O8" i="46"/>
  <c r="P8" i="46" s="1"/>
  <c r="I9" i="46"/>
  <c r="G9" i="46"/>
  <c r="F10" i="46" s="1"/>
  <c r="I16" i="44"/>
  <c r="K16" i="44"/>
  <c r="E19" i="44"/>
  <c r="E16" i="44"/>
  <c r="E18" i="44" s="1"/>
  <c r="F15" i="44" s="1"/>
  <c r="F17" i="44" s="1"/>
  <c r="F19" i="44" s="1"/>
  <c r="M16" i="44"/>
  <c r="E19" i="43"/>
  <c r="E16" i="43"/>
  <c r="E18" i="43" s="1"/>
  <c r="F15" i="43" s="1"/>
  <c r="F10" i="41"/>
  <c r="G10" i="41" s="1"/>
  <c r="E10" i="41"/>
  <c r="T9" i="41"/>
  <c r="T18" i="41" s="1"/>
  <c r="U9" i="41"/>
  <c r="U18" i="41" s="1"/>
  <c r="V9" i="41"/>
  <c r="W9" i="41"/>
  <c r="X9" i="41"/>
  <c r="Y9" i="41"/>
  <c r="Y18" i="41" s="1"/>
  <c r="Z9" i="41"/>
  <c r="Z18" i="41" s="1"/>
  <c r="AA9" i="41"/>
  <c r="AA18" i="41" s="1"/>
  <c r="AB9" i="41"/>
  <c r="AB18" i="41" s="1"/>
  <c r="AC9" i="41"/>
  <c r="AC18" i="41" s="1"/>
  <c r="T13" i="41"/>
  <c r="U13" i="41"/>
  <c r="V13" i="41"/>
  <c r="W13" i="41"/>
  <c r="X13" i="41"/>
  <c r="Y13" i="41"/>
  <c r="Z13" i="41"/>
  <c r="AA13" i="41"/>
  <c r="AB13" i="41"/>
  <c r="AC13" i="41"/>
  <c r="V18" i="41"/>
  <c r="W18" i="41"/>
  <c r="X18" i="41"/>
  <c r="S18" i="41"/>
  <c r="F21" i="41"/>
  <c r="G21" i="41"/>
  <c r="H21" i="41"/>
  <c r="I21" i="41"/>
  <c r="J21" i="41"/>
  <c r="F13" i="41"/>
  <c r="G13" i="41"/>
  <c r="H13" i="41"/>
  <c r="I13" i="41"/>
  <c r="J13" i="41"/>
  <c r="K13" i="41"/>
  <c r="L13" i="41"/>
  <c r="M13" i="41"/>
  <c r="N13" i="41"/>
  <c r="O13" i="41"/>
  <c r="P13" i="41"/>
  <c r="Q13" i="41"/>
  <c r="R13" i="41"/>
  <c r="S13" i="41"/>
  <c r="F9" i="41"/>
  <c r="F18" i="41" s="1"/>
  <c r="G9" i="41"/>
  <c r="G18" i="41" s="1"/>
  <c r="H9" i="41"/>
  <c r="H18" i="41" s="1"/>
  <c r="I9" i="41"/>
  <c r="I18" i="41" s="1"/>
  <c r="J9" i="41"/>
  <c r="J18" i="41" s="1"/>
  <c r="K9" i="41"/>
  <c r="K18" i="41" s="1"/>
  <c r="L9" i="41"/>
  <c r="L18" i="41" s="1"/>
  <c r="M9" i="41"/>
  <c r="M18" i="41" s="1"/>
  <c r="N9" i="41"/>
  <c r="N18" i="41" s="1"/>
  <c r="O9" i="41"/>
  <c r="O18" i="41" s="1"/>
  <c r="P9" i="41"/>
  <c r="P18" i="41" s="1"/>
  <c r="Q9" i="41"/>
  <c r="Q18" i="41" s="1"/>
  <c r="R9" i="41"/>
  <c r="R18" i="41" s="1"/>
  <c r="S9" i="41"/>
  <c r="E9" i="41"/>
  <c r="E21" i="41"/>
  <c r="E18" i="41"/>
  <c r="E13" i="41"/>
  <c r="J9" i="46" l="1"/>
  <c r="F18" i="44"/>
  <c r="G15" i="44" s="1"/>
  <c r="G17" i="44" s="1"/>
  <c r="G19" i="44" s="1"/>
  <c r="H10" i="41"/>
  <c r="G19" i="41"/>
  <c r="G26" i="41" s="1"/>
  <c r="F19" i="41"/>
  <c r="F26" i="41" s="1"/>
  <c r="E19" i="41"/>
  <c r="E26" i="41" s="1"/>
  <c r="N15" i="37"/>
  <c r="N17" i="37" s="1"/>
  <c r="M15" i="37"/>
  <c r="L15" i="37"/>
  <c r="K15" i="37"/>
  <c r="J15" i="37"/>
  <c r="I17" i="37"/>
  <c r="H15" i="37"/>
  <c r="H17" i="37" s="1"/>
  <c r="G15" i="37"/>
  <c r="G17" i="37" s="1"/>
  <c r="F15" i="37"/>
  <c r="F17" i="37" s="1"/>
  <c r="E15" i="37"/>
  <c r="E18" i="37" s="1"/>
  <c r="D5" i="36"/>
  <c r="D6" i="36" s="1"/>
  <c r="E5" i="36"/>
  <c r="E6" i="36" s="1"/>
  <c r="F5" i="36"/>
  <c r="G5" i="36"/>
  <c r="H5" i="36"/>
  <c r="H6" i="36" s="1"/>
  <c r="H7" i="36" s="1"/>
  <c r="H8" i="36" s="1"/>
  <c r="I5" i="36"/>
  <c r="I6" i="36" s="1"/>
  <c r="I7" i="36" s="1"/>
  <c r="I8" i="36" s="1"/>
  <c r="J5" i="36"/>
  <c r="J6" i="36" s="1"/>
  <c r="K5" i="36"/>
  <c r="K6" i="36" s="1"/>
  <c r="L5" i="36"/>
  <c r="L6" i="36" s="1"/>
  <c r="M5" i="36"/>
  <c r="F6" i="36"/>
  <c r="F24" i="36" s="1"/>
  <c r="G6" i="36"/>
  <c r="M6" i="36"/>
  <c r="M7" i="36" s="1"/>
  <c r="M8" i="36" s="1"/>
  <c r="F7" i="36"/>
  <c r="F8" i="36" s="1"/>
  <c r="D13" i="36"/>
  <c r="D19" i="36" s="1"/>
  <c r="D20" i="36" s="1"/>
  <c r="D21" i="36" s="1"/>
  <c r="E13" i="36"/>
  <c r="E19" i="36" s="1"/>
  <c r="E20" i="36" s="1"/>
  <c r="E21" i="36" s="1"/>
  <c r="F13" i="36"/>
  <c r="G13" i="36"/>
  <c r="G15" i="36" s="1"/>
  <c r="H13" i="36"/>
  <c r="H15" i="36" s="1"/>
  <c r="I13" i="36"/>
  <c r="I15" i="36" s="1"/>
  <c r="J13" i="36"/>
  <c r="J15" i="36" s="1"/>
  <c r="K13" i="36"/>
  <c r="L13" i="36"/>
  <c r="M13" i="36"/>
  <c r="E15" i="36"/>
  <c r="F15" i="36"/>
  <c r="L15" i="36"/>
  <c r="M15" i="36"/>
  <c r="D16" i="36"/>
  <c r="E16" i="36"/>
  <c r="M24" i="36"/>
  <c r="M26" i="36"/>
  <c r="K66" i="28"/>
  <c r="J66" i="28"/>
  <c r="I66" i="28"/>
  <c r="H66" i="28"/>
  <c r="G66" i="28"/>
  <c r="F66" i="28"/>
  <c r="E66" i="28"/>
  <c r="D66" i="28"/>
  <c r="E62" i="28"/>
  <c r="F62" i="28"/>
  <c r="G62" i="28"/>
  <c r="H62" i="28"/>
  <c r="I62" i="28"/>
  <c r="J62" i="28"/>
  <c r="K62" i="28"/>
  <c r="D62" i="28"/>
  <c r="E42" i="28"/>
  <c r="F42" i="28"/>
  <c r="G42" i="28"/>
  <c r="H42" i="28"/>
  <c r="I42" i="28"/>
  <c r="J42" i="28"/>
  <c r="K42" i="28"/>
  <c r="D42" i="28"/>
  <c r="E7" i="28"/>
  <c r="E15" i="28" s="1"/>
  <c r="F7" i="28"/>
  <c r="F15" i="28" s="1"/>
  <c r="G7" i="28"/>
  <c r="G15" i="28" s="1"/>
  <c r="H7" i="28"/>
  <c r="H15" i="28" s="1"/>
  <c r="I7" i="28"/>
  <c r="I15" i="28" s="1"/>
  <c r="J7" i="28"/>
  <c r="J15" i="28" s="1"/>
  <c r="K7" i="28"/>
  <c r="K15" i="28" s="1"/>
  <c r="D7" i="28"/>
  <c r="D15" i="28" s="1"/>
  <c r="E7" i="36" l="1"/>
  <c r="E8" i="36" s="1"/>
  <c r="E24" i="36"/>
  <c r="E26" i="36" s="1"/>
  <c r="D24" i="36"/>
  <c r="D30" i="36" s="1"/>
  <c r="D31" i="36" s="1"/>
  <c r="D32" i="36" s="1"/>
  <c r="D7" i="36"/>
  <c r="D8" i="36" s="1"/>
  <c r="G24" i="36"/>
  <c r="G26" i="36" s="1"/>
  <c r="D15" i="36"/>
  <c r="D17" i="36" s="1"/>
  <c r="E14" i="36" s="1"/>
  <c r="E17" i="36" s="1"/>
  <c r="F14" i="36" s="1"/>
  <c r="F16" i="36" s="1"/>
  <c r="F19" i="36" s="1"/>
  <c r="F20" i="36" s="1"/>
  <c r="F21" i="36" s="1"/>
  <c r="G7" i="36"/>
  <c r="G8" i="36" s="1"/>
  <c r="K9" i="46"/>
  <c r="G10" i="46"/>
  <c r="I10" i="46"/>
  <c r="G18" i="44"/>
  <c r="H15" i="44" s="1"/>
  <c r="I10" i="41"/>
  <c r="J10" i="41" s="1"/>
  <c r="I19" i="41"/>
  <c r="I26" i="41" s="1"/>
  <c r="H19" i="41"/>
  <c r="H26" i="41" s="1"/>
  <c r="J17" i="37"/>
  <c r="K17" i="37"/>
  <c r="E20" i="37"/>
  <c r="L17" i="37"/>
  <c r="E17" i="37"/>
  <c r="E19" i="37" s="1"/>
  <c r="F16" i="37" s="1"/>
  <c r="F18" i="37" s="1"/>
  <c r="F20" i="37" s="1"/>
  <c r="M17" i="37"/>
  <c r="K24" i="36"/>
  <c r="K7" i="36"/>
  <c r="K8" i="36" s="1"/>
  <c r="J7" i="36"/>
  <c r="J8" i="36" s="1"/>
  <c r="J24" i="36"/>
  <c r="F26" i="36"/>
  <c r="L24" i="36"/>
  <c r="L7" i="36"/>
  <c r="L8" i="36" s="1"/>
  <c r="H24" i="36"/>
  <c r="K15" i="36"/>
  <c r="I24" i="36"/>
  <c r="D26" i="36" l="1"/>
  <c r="D27" i="36"/>
  <c r="L9" i="46"/>
  <c r="O9" i="46"/>
  <c r="P9" i="46" s="1"/>
  <c r="J10" i="46"/>
  <c r="K10" i="46" s="1"/>
  <c r="F11" i="46"/>
  <c r="H17" i="44"/>
  <c r="H19" i="44" s="1"/>
  <c r="K10" i="41"/>
  <c r="J19" i="41"/>
  <c r="J26" i="41" s="1"/>
  <c r="F19" i="37"/>
  <c r="G16" i="37" s="1"/>
  <c r="G18" i="37" s="1"/>
  <c r="G20" i="37" s="1"/>
  <c r="L26" i="36"/>
  <c r="J26" i="36"/>
  <c r="H26" i="36"/>
  <c r="F17" i="36"/>
  <c r="G14" i="36" s="1"/>
  <c r="I26" i="36"/>
  <c r="K26" i="36"/>
  <c r="L10" i="41" l="1"/>
  <c r="L19" i="41" s="1"/>
  <c r="L26" i="41" s="1"/>
  <c r="D28" i="36"/>
  <c r="E25" i="36" s="1"/>
  <c r="E27" i="36" s="1"/>
  <c r="E30" i="36" s="1"/>
  <c r="E31" i="36" s="1"/>
  <c r="E32" i="36" s="1"/>
  <c r="L10" i="46"/>
  <c r="O10" i="46"/>
  <c r="P10" i="46" s="1"/>
  <c r="N9" i="46"/>
  <c r="M10" i="46" s="1"/>
  <c r="I11" i="46"/>
  <c r="G11" i="46"/>
  <c r="H18" i="44"/>
  <c r="I15" i="44" s="1"/>
  <c r="I17" i="44" s="1"/>
  <c r="I19" i="44" s="1"/>
  <c r="K19" i="41"/>
  <c r="K26" i="41" s="1"/>
  <c r="G19" i="37"/>
  <c r="H16" i="37" s="1"/>
  <c r="G16" i="36"/>
  <c r="G19" i="36" s="1"/>
  <c r="G20" i="36" s="1"/>
  <c r="G21" i="36" s="1"/>
  <c r="E28" i="36" l="1"/>
  <c r="F25" i="36" s="1"/>
  <c r="M10" i="41"/>
  <c r="N10" i="46"/>
  <c r="J11" i="46"/>
  <c r="K11" i="46" s="1"/>
  <c r="F12" i="46"/>
  <c r="I18" i="44"/>
  <c r="J15" i="44" s="1"/>
  <c r="M19" i="41"/>
  <c r="M26" i="41" s="1"/>
  <c r="H18" i="37"/>
  <c r="H20" i="37" s="1"/>
  <c r="F27" i="36"/>
  <c r="F30" i="36" s="1"/>
  <c r="F31" i="36" s="1"/>
  <c r="F32" i="36" s="1"/>
  <c r="G17" i="36"/>
  <c r="H14" i="36" s="1"/>
  <c r="J25" i="28"/>
  <c r="H25" i="28"/>
  <c r="G25" i="28"/>
  <c r="K24" i="28"/>
  <c r="K25" i="28" s="1"/>
  <c r="I24" i="28"/>
  <c r="F24" i="28"/>
  <c r="E24" i="28"/>
  <c r="E25" i="28" s="1"/>
  <c r="D24" i="28"/>
  <c r="D25" i="28" s="1"/>
  <c r="F23" i="28"/>
  <c r="I22" i="28"/>
  <c r="K10" i="28"/>
  <c r="J10" i="28"/>
  <c r="I10" i="28"/>
  <c r="H10" i="28"/>
  <c r="G10" i="28"/>
  <c r="F10" i="28"/>
  <c r="E10" i="28"/>
  <c r="D10" i="28"/>
  <c r="D46" i="28" l="1"/>
  <c r="D57" i="28"/>
  <c r="D48" i="28"/>
  <c r="D40" i="28"/>
  <c r="D68" i="28"/>
  <c r="E46" i="28"/>
  <c r="E57" i="28"/>
  <c r="E48" i="28"/>
  <c r="E40" i="28"/>
  <c r="E68" i="28"/>
  <c r="G46" i="28"/>
  <c r="G48" i="28"/>
  <c r="G40" i="28"/>
  <c r="G57" i="28"/>
  <c r="G68" i="28"/>
  <c r="H57" i="28"/>
  <c r="H48" i="28"/>
  <c r="H46" i="28"/>
  <c r="H40" i="28"/>
  <c r="H68" i="28"/>
  <c r="I57" i="28"/>
  <c r="I46" i="28"/>
  <c r="I40" i="28"/>
  <c r="I48" i="28"/>
  <c r="I68" i="28"/>
  <c r="F46" i="28"/>
  <c r="F57" i="28"/>
  <c r="F48" i="28"/>
  <c r="F40" i="28"/>
  <c r="F68" i="28"/>
  <c r="J57" i="28"/>
  <c r="J48" i="28"/>
  <c r="J40" i="28"/>
  <c r="J68" i="28"/>
  <c r="J46" i="28"/>
  <c r="K57" i="28"/>
  <c r="K48" i="28"/>
  <c r="K40" i="28"/>
  <c r="K46" i="28"/>
  <c r="K68" i="28"/>
  <c r="N10" i="41"/>
  <c r="O10" i="41"/>
  <c r="P10" i="41" s="1"/>
  <c r="L11" i="46"/>
  <c r="O11" i="46"/>
  <c r="P11" i="46" s="1"/>
  <c r="M11" i="46"/>
  <c r="N11" i="46" s="1"/>
  <c r="M12" i="46" s="1"/>
  <c r="I12" i="46"/>
  <c r="G12" i="46"/>
  <c r="J17" i="44"/>
  <c r="J19" i="44" s="1"/>
  <c r="O19" i="41"/>
  <c r="O26" i="41" s="1"/>
  <c r="H19" i="37"/>
  <c r="I16" i="37" s="1"/>
  <c r="H16" i="36"/>
  <c r="H19" i="36" s="1"/>
  <c r="H20" i="36" s="1"/>
  <c r="H21" i="36" s="1"/>
  <c r="F28" i="36"/>
  <c r="G25" i="36" s="1"/>
  <c r="I25" i="28"/>
  <c r="F25" i="28"/>
  <c r="Q10" i="41" l="1"/>
  <c r="N19" i="41"/>
  <c r="N26" i="41" s="1"/>
  <c r="R10" i="41"/>
  <c r="J12" i="46"/>
  <c r="F13" i="46"/>
  <c r="J18" i="44"/>
  <c r="K15" i="44" s="1"/>
  <c r="K17" i="44" s="1"/>
  <c r="K19" i="44" s="1"/>
  <c r="I18" i="37"/>
  <c r="I20" i="37" s="1"/>
  <c r="G27" i="36"/>
  <c r="G30" i="36" s="1"/>
  <c r="G31" i="36" s="1"/>
  <c r="G32" i="36" s="1"/>
  <c r="H17" i="36"/>
  <c r="I14" i="36" s="1"/>
  <c r="D23" i="22"/>
  <c r="D28" i="22" s="1"/>
  <c r="D5" i="28" s="1"/>
  <c r="D14" i="28" s="1"/>
  <c r="E23" i="22"/>
  <c r="E28" i="22" s="1"/>
  <c r="E5" i="28" s="1"/>
  <c r="E14" i="28" s="1"/>
  <c r="F23" i="22"/>
  <c r="F28" i="22" s="1"/>
  <c r="F5" i="28" s="1"/>
  <c r="F14" i="28" s="1"/>
  <c r="G23" i="22"/>
  <c r="G28" i="22" s="1"/>
  <c r="G5" i="28" s="1"/>
  <c r="G14" i="28" s="1"/>
  <c r="H23" i="22"/>
  <c r="H28" i="22" s="1"/>
  <c r="H5" i="28" s="1"/>
  <c r="H14" i="28" s="1"/>
  <c r="I23" i="22"/>
  <c r="I28" i="22" s="1"/>
  <c r="I5" i="28" s="1"/>
  <c r="I14" i="28" s="1"/>
  <c r="J23" i="22"/>
  <c r="J28" i="22" s="1"/>
  <c r="J5" i="28" s="1"/>
  <c r="J14" i="28" s="1"/>
  <c r="K23" i="22"/>
  <c r="K28" i="22" s="1"/>
  <c r="K5" i="28" s="1"/>
  <c r="K14" i="28" s="1"/>
  <c r="L23" i="22"/>
  <c r="L28" i="22" s="1"/>
  <c r="S10" i="41" l="1"/>
  <c r="T10" i="41" s="1"/>
  <c r="I13" i="46"/>
  <c r="G13" i="46"/>
  <c r="K12" i="46"/>
  <c r="K18" i="44"/>
  <c r="L15" i="44" s="1"/>
  <c r="L17" i="44" s="1"/>
  <c r="L19" i="44" s="1"/>
  <c r="Q19" i="41"/>
  <c r="Q26" i="41" s="1"/>
  <c r="P19" i="41"/>
  <c r="P26" i="41" s="1"/>
  <c r="I19" i="37"/>
  <c r="J16" i="37" s="1"/>
  <c r="I16" i="36"/>
  <c r="I19" i="36" s="1"/>
  <c r="I20" i="36" s="1"/>
  <c r="I21" i="36" s="1"/>
  <c r="G28" i="36"/>
  <c r="H25" i="36" s="1"/>
  <c r="K18" i="28"/>
  <c r="I18" i="28"/>
  <c r="G18" i="28"/>
  <c r="F18" i="28"/>
  <c r="E18" i="28"/>
  <c r="J18" i="28"/>
  <c r="H18" i="28"/>
  <c r="D18" i="28"/>
  <c r="U10" i="41" l="1"/>
  <c r="V10" i="41" s="1"/>
  <c r="J13" i="46"/>
  <c r="K13" i="46" s="1"/>
  <c r="F14" i="46"/>
  <c r="L12" i="46"/>
  <c r="N12" i="46" s="1"/>
  <c r="M13" i="46" s="1"/>
  <c r="O12" i="46"/>
  <c r="P12" i="46" s="1"/>
  <c r="L18" i="44"/>
  <c r="M15" i="44" s="1"/>
  <c r="M17" i="44" s="1"/>
  <c r="M19" i="44" s="1"/>
  <c r="R19" i="41"/>
  <c r="R26" i="41" s="1"/>
  <c r="S19" i="41"/>
  <c r="S26" i="41" s="1"/>
  <c r="J18" i="37"/>
  <c r="J20" i="37" s="1"/>
  <c r="H27" i="36"/>
  <c r="H30" i="36" s="1"/>
  <c r="H31" i="36" s="1"/>
  <c r="H32" i="36" s="1"/>
  <c r="I17" i="36"/>
  <c r="J14" i="36" s="1"/>
  <c r="D73" i="11"/>
  <c r="W10" i="41" l="1"/>
  <c r="X10" i="41" s="1"/>
  <c r="Y10" i="41" s="1"/>
  <c r="Z10" i="41" s="1"/>
  <c r="AA10" i="41" s="1"/>
  <c r="AB10" i="41" s="1"/>
  <c r="AC10" i="41" s="1"/>
  <c r="L13" i="46"/>
  <c r="O13" i="46"/>
  <c r="P13" i="46" s="1"/>
  <c r="G14" i="46"/>
  <c r="I14" i="46"/>
  <c r="N13" i="46"/>
  <c r="M14" i="46" s="1"/>
  <c r="M18" i="44"/>
  <c r="N15" i="44" s="1"/>
  <c r="T19" i="41"/>
  <c r="T26" i="41" s="1"/>
  <c r="J19" i="37"/>
  <c r="K16" i="37" s="1"/>
  <c r="J16" i="36"/>
  <c r="J19" i="36" s="1"/>
  <c r="J20" i="36" s="1"/>
  <c r="J21" i="36" s="1"/>
  <c r="H28" i="36"/>
  <c r="I25" i="36" s="1"/>
  <c r="G56" i="11"/>
  <c r="E11" i="10"/>
  <c r="G11" i="10"/>
  <c r="H11" i="10"/>
  <c r="I11" i="10"/>
  <c r="F15" i="46" l="1"/>
  <c r="J14" i="46"/>
  <c r="K14" i="46" s="1"/>
  <c r="N17" i="44"/>
  <c r="N19" i="44" s="1"/>
  <c r="U19" i="41"/>
  <c r="U26" i="41" s="1"/>
  <c r="K18" i="37"/>
  <c r="K20" i="37" s="1"/>
  <c r="I27" i="36"/>
  <c r="I30" i="36" s="1"/>
  <c r="I31" i="36" s="1"/>
  <c r="I32" i="36" s="1"/>
  <c r="J17" i="36"/>
  <c r="K14" i="36" s="1"/>
  <c r="L8" i="22"/>
  <c r="K8" i="22"/>
  <c r="D8" i="22"/>
  <c r="E8" i="22"/>
  <c r="F8" i="22"/>
  <c r="G8" i="22"/>
  <c r="H8" i="22"/>
  <c r="I8" i="22"/>
  <c r="J8" i="22"/>
  <c r="O14" i="46" l="1"/>
  <c r="P14" i="46" s="1"/>
  <c r="L14" i="46"/>
  <c r="N14" i="46" s="1"/>
  <c r="M15" i="46" s="1"/>
  <c r="I15" i="46"/>
  <c r="G15" i="46"/>
  <c r="N18" i="44"/>
  <c r="V19" i="41"/>
  <c r="V26" i="41" s="1"/>
  <c r="K19" i="37"/>
  <c r="L16" i="37" s="1"/>
  <c r="K16" i="36"/>
  <c r="K19" i="36" s="1"/>
  <c r="K20" i="36" s="1"/>
  <c r="K21" i="36" s="1"/>
  <c r="I28" i="36"/>
  <c r="J25" i="36" s="1"/>
  <c r="F30" i="22"/>
  <c r="F34" i="22" s="1"/>
  <c r="E30" i="22"/>
  <c r="E34" i="22" s="1"/>
  <c r="K30" i="22"/>
  <c r="K34" i="22" s="1"/>
  <c r="L30" i="22"/>
  <c r="L34" i="22" s="1"/>
  <c r="L36" i="22" s="1"/>
  <c r="H30" i="22"/>
  <c r="H34" i="22" s="1"/>
  <c r="G30" i="22"/>
  <c r="G34" i="22" s="1"/>
  <c r="I30" i="22"/>
  <c r="I34" i="22" s="1"/>
  <c r="J30" i="22"/>
  <c r="J34" i="22" s="1"/>
  <c r="D30" i="22"/>
  <c r="D34" i="22" s="1"/>
  <c r="D6" i="28" s="1"/>
  <c r="D59" i="28" s="1"/>
  <c r="J15" i="46" l="1"/>
  <c r="K15" i="46" s="1"/>
  <c r="F16" i="46"/>
  <c r="W19" i="41"/>
  <c r="W26" i="41" s="1"/>
  <c r="L18" i="37"/>
  <c r="L20" i="37" s="1"/>
  <c r="J27" i="36"/>
  <c r="J30" i="36" s="1"/>
  <c r="J31" i="36" s="1"/>
  <c r="J32" i="36" s="1"/>
  <c r="K17" i="36"/>
  <c r="L14" i="36" s="1"/>
  <c r="D8" i="28"/>
  <c r="I6" i="28"/>
  <c r="I59" i="28" s="1"/>
  <c r="E6" i="28"/>
  <c r="E59" i="28" s="1"/>
  <c r="F6" i="28"/>
  <c r="F59" i="28" s="1"/>
  <c r="H6" i="28"/>
  <c r="H59" i="28" s="1"/>
  <c r="J6" i="28"/>
  <c r="J59" i="28" s="1"/>
  <c r="G6" i="28"/>
  <c r="G59" i="28" s="1"/>
  <c r="K6" i="28"/>
  <c r="K59" i="28" s="1"/>
  <c r="D36" i="22"/>
  <c r="J36" i="22"/>
  <c r="K36" i="22"/>
  <c r="I36" i="22"/>
  <c r="H36" i="22"/>
  <c r="G36" i="22"/>
  <c r="E36" i="22"/>
  <c r="F36" i="22"/>
  <c r="G16" i="46" l="1"/>
  <c r="J16" i="46" s="1"/>
  <c r="K16" i="46" s="1"/>
  <c r="I16" i="46"/>
  <c r="O15" i="46"/>
  <c r="P15" i="46" s="1"/>
  <c r="L15" i="46"/>
  <c r="N15" i="46" s="1"/>
  <c r="M16" i="46" s="1"/>
  <c r="X19" i="41"/>
  <c r="X26" i="41" s="1"/>
  <c r="L19" i="37"/>
  <c r="M16" i="37" s="1"/>
  <c r="L16" i="36"/>
  <c r="L19" i="36" s="1"/>
  <c r="L20" i="36" s="1"/>
  <c r="L21" i="36" s="1"/>
  <c r="L17" i="36"/>
  <c r="M14" i="36" s="1"/>
  <c r="J28" i="36"/>
  <c r="K25" i="36" s="1"/>
  <c r="J8" i="28"/>
  <c r="H8" i="28"/>
  <c r="F8" i="28"/>
  <c r="E8" i="28"/>
  <c r="K8" i="28"/>
  <c r="I8" i="28"/>
  <c r="G8" i="28"/>
  <c r="O16" i="46" l="1"/>
  <c r="P16" i="46" s="1"/>
  <c r="L16" i="46"/>
  <c r="N16" i="46" s="1"/>
  <c r="Y19" i="41"/>
  <c r="Y26" i="41" s="1"/>
  <c r="M18" i="37"/>
  <c r="M20" i="37" s="1"/>
  <c r="M16" i="36"/>
  <c r="M19" i="36" s="1"/>
  <c r="M20" i="36" s="1"/>
  <c r="M21" i="36" s="1"/>
  <c r="K27" i="36"/>
  <c r="K30" i="36" s="1"/>
  <c r="K31" i="36" s="1"/>
  <c r="K32" i="36" s="1"/>
  <c r="F25" i="10"/>
  <c r="H24" i="10"/>
  <c r="H26" i="10" s="1"/>
  <c r="G24" i="10"/>
  <c r="G26" i="10" s="1"/>
  <c r="F24" i="10"/>
  <c r="F26" i="10" s="1"/>
  <c r="I21" i="10"/>
  <c r="H21" i="10"/>
  <c r="G21" i="10"/>
  <c r="F21" i="10"/>
  <c r="E21" i="10"/>
  <c r="J20" i="10"/>
  <c r="J22" i="10" s="1"/>
  <c r="I20" i="10"/>
  <c r="J10" i="10"/>
  <c r="F10" i="10"/>
  <c r="F11" i="10" s="1"/>
  <c r="D10" i="10"/>
  <c r="D11" i="10" s="1"/>
  <c r="C10" i="10"/>
  <c r="C9" i="10"/>
  <c r="C11" i="10" s="1"/>
  <c r="J8" i="10"/>
  <c r="K64" i="11"/>
  <c r="J64" i="11"/>
  <c r="I64" i="11"/>
  <c r="H64" i="11"/>
  <c r="K59" i="11"/>
  <c r="J59" i="11"/>
  <c r="I59" i="11"/>
  <c r="H59" i="11"/>
  <c r="G59" i="11"/>
  <c r="F59" i="11"/>
  <c r="E59" i="11"/>
  <c r="D59" i="11"/>
  <c r="K56" i="11"/>
  <c r="J56" i="11"/>
  <c r="I56" i="11"/>
  <c r="H56" i="11"/>
  <c r="K49" i="11"/>
  <c r="J49" i="11"/>
  <c r="I49" i="11"/>
  <c r="H49" i="11"/>
  <c r="G49" i="11"/>
  <c r="F49" i="11"/>
  <c r="E49" i="11"/>
  <c r="D49" i="11"/>
  <c r="K39" i="11"/>
  <c r="J39" i="11"/>
  <c r="I39" i="11"/>
  <c r="H39" i="11"/>
  <c r="G39" i="11"/>
  <c r="F39" i="11"/>
  <c r="E39" i="11"/>
  <c r="D39" i="11"/>
  <c r="K25" i="11"/>
  <c r="J25" i="11"/>
  <c r="I25" i="11"/>
  <c r="H25" i="11"/>
  <c r="G25" i="11"/>
  <c r="F25" i="11"/>
  <c r="E25" i="11"/>
  <c r="D25" i="11"/>
  <c r="K8" i="11"/>
  <c r="K6" i="11"/>
  <c r="J28" i="10"/>
  <c r="I28" i="10"/>
  <c r="H28" i="10"/>
  <c r="G28" i="10"/>
  <c r="F28" i="10"/>
  <c r="E28" i="10"/>
  <c r="D28" i="10"/>
  <c r="C28" i="10"/>
  <c r="J26" i="10"/>
  <c r="I26" i="10"/>
  <c r="D22" i="10"/>
  <c r="C22" i="10"/>
  <c r="D41" i="11" l="1"/>
  <c r="E41" i="11"/>
  <c r="F41" i="11"/>
  <c r="Z19" i="41"/>
  <c r="Z26" i="41" s="1"/>
  <c r="M19" i="37"/>
  <c r="N16" i="37" s="1"/>
  <c r="K28" i="36"/>
  <c r="L25" i="36" s="1"/>
  <c r="M17" i="36"/>
  <c r="I57" i="11"/>
  <c r="I65" i="11"/>
  <c r="F22" i="10"/>
  <c r="J57" i="11"/>
  <c r="J65" i="11"/>
  <c r="G22" i="10"/>
  <c r="G41" i="11"/>
  <c r="G64" i="11" s="1"/>
  <c r="G65" i="11" s="1"/>
  <c r="L25" i="11"/>
  <c r="K57" i="11"/>
  <c r="K65" i="11"/>
  <c r="H22" i="10"/>
  <c r="D64" i="11"/>
  <c r="H57" i="11"/>
  <c r="H65" i="11"/>
  <c r="J11" i="10"/>
  <c r="E22" i="10"/>
  <c r="I22" i="10"/>
  <c r="G57" i="11"/>
  <c r="E57" i="11"/>
  <c r="E64" i="11"/>
  <c r="E65" i="11" s="1"/>
  <c r="F64" i="11"/>
  <c r="F65" i="11" s="1"/>
  <c r="F57" i="11"/>
  <c r="D65" i="11"/>
  <c r="D57" i="11"/>
  <c r="AA19" i="41" l="1"/>
  <c r="AA26" i="41" s="1"/>
  <c r="N18" i="37"/>
  <c r="N20" i="37" s="1"/>
  <c r="L27" i="36"/>
  <c r="L30" i="36" s="1"/>
  <c r="L31" i="36" s="1"/>
  <c r="L32" i="36" s="1"/>
  <c r="E60" i="11"/>
  <c r="E66" i="11" s="1"/>
  <c r="J60" i="11"/>
  <c r="J66" i="11" s="1"/>
  <c r="D60" i="11"/>
  <c r="F60" i="11"/>
  <c r="F66" i="11" s="1"/>
  <c r="H60" i="11"/>
  <c r="H66" i="11" s="1"/>
  <c r="K60" i="11"/>
  <c r="K66" i="11" s="1"/>
  <c r="I60" i="11"/>
  <c r="I66" i="11" s="1"/>
  <c r="D66" i="11"/>
  <c r="G60" i="11"/>
  <c r="G66" i="11" s="1"/>
  <c r="AB19" i="41" l="1"/>
  <c r="AB26" i="41" s="1"/>
  <c r="AC19" i="41"/>
  <c r="AC26" i="41" s="1"/>
  <c r="N19" i="37"/>
  <c r="O16" i="37" s="1"/>
  <c r="L28" i="36"/>
  <c r="M25" i="36" s="1"/>
  <c r="C15" i="10"/>
  <c r="C17" i="10" s="1"/>
  <c r="D15" i="10"/>
  <c r="D17" i="10" s="1"/>
  <c r="E15" i="10"/>
  <c r="E17" i="10" s="1"/>
  <c r="F15" i="10"/>
  <c r="F17" i="10" s="1"/>
  <c r="G15" i="10"/>
  <c r="G17" i="10" s="1"/>
  <c r="H15" i="10"/>
  <c r="H17" i="10" s="1"/>
  <c r="I15" i="10"/>
  <c r="I17" i="10" s="1"/>
  <c r="J15" i="10"/>
  <c r="J17" i="10" s="1"/>
  <c r="O18" i="37" l="1"/>
  <c r="O20" i="37" s="1"/>
  <c r="M27" i="36"/>
  <c r="M30" i="36" s="1"/>
  <c r="M31" i="36" s="1"/>
  <c r="M32" i="36" s="1"/>
  <c r="F27" i="10"/>
  <c r="G11" i="28" s="1"/>
  <c r="E27" i="10"/>
  <c r="F11" i="28" s="1"/>
  <c r="F13" i="28" s="1"/>
  <c r="D27" i="10"/>
  <c r="E11" i="28" s="1"/>
  <c r="E13" i="28" s="1"/>
  <c r="I32" i="10"/>
  <c r="I33" i="10" s="1"/>
  <c r="I27" i="10"/>
  <c r="J11" i="28" s="1"/>
  <c r="J13" i="28" s="1"/>
  <c r="G32" i="10"/>
  <c r="G33" i="10" s="1"/>
  <c r="G27" i="10"/>
  <c r="H11" i="28" s="1"/>
  <c r="H13" i="28" s="1"/>
  <c r="J32" i="10"/>
  <c r="J33" i="10" s="1"/>
  <c r="J27" i="10"/>
  <c r="K11" i="28" s="1"/>
  <c r="K13" i="28" s="1"/>
  <c r="H32" i="10"/>
  <c r="H33" i="10" s="1"/>
  <c r="H27" i="10"/>
  <c r="I11" i="28" s="1"/>
  <c r="I13" i="28" s="1"/>
  <c r="C27" i="10"/>
  <c r="D11" i="28" s="1"/>
  <c r="D13" i="28" s="1"/>
  <c r="C32" i="10"/>
  <c r="C33" i="10" s="1"/>
  <c r="F32" i="10"/>
  <c r="F33" i="10" s="1"/>
  <c r="E32" i="10"/>
  <c r="E33" i="10" s="1"/>
  <c r="D32" i="10"/>
  <c r="D33" i="10" s="1"/>
  <c r="O19" i="37" l="1"/>
  <c r="P16" i="37" s="1"/>
  <c r="M28" i="36"/>
  <c r="K47" i="28"/>
  <c r="K49" i="28" s="1"/>
  <c r="K50" i="28" s="1"/>
  <c r="K63" i="28"/>
  <c r="K64" i="28" s="1"/>
  <c r="K58" i="28"/>
  <c r="K60" i="28" s="1"/>
  <c r="H47" i="28"/>
  <c r="H49" i="28" s="1"/>
  <c r="H50" i="28" s="1"/>
  <c r="H63" i="28"/>
  <c r="H64" i="28" s="1"/>
  <c r="H58" i="28"/>
  <c r="H60" i="28" s="1"/>
  <c r="I47" i="28"/>
  <c r="I49" i="28" s="1"/>
  <c r="I50" i="28" s="1"/>
  <c r="I63" i="28"/>
  <c r="I64" i="28" s="1"/>
  <c r="I58" i="28"/>
  <c r="I60" i="28" s="1"/>
  <c r="J47" i="28"/>
  <c r="J49" i="28" s="1"/>
  <c r="J50" i="28" s="1"/>
  <c r="J63" i="28"/>
  <c r="J64" i="28" s="1"/>
  <c r="J58" i="28"/>
  <c r="J60" i="28" s="1"/>
  <c r="D47" i="28"/>
  <c r="D49" i="28" s="1"/>
  <c r="D50" i="28" s="1"/>
  <c r="D63" i="28"/>
  <c r="D64" i="28" s="1"/>
  <c r="D58" i="28"/>
  <c r="D60" i="28" s="1"/>
  <c r="E47" i="28"/>
  <c r="E49" i="28" s="1"/>
  <c r="E50" i="28" s="1"/>
  <c r="E63" i="28"/>
  <c r="E64" i="28" s="1"/>
  <c r="E58" i="28"/>
  <c r="E60" i="28" s="1"/>
  <c r="F47" i="28"/>
  <c r="F49" i="28" s="1"/>
  <c r="F50" i="28" s="1"/>
  <c r="F63" i="28"/>
  <c r="F64" i="28" s="1"/>
  <c r="F58" i="28"/>
  <c r="F60" i="28" s="1"/>
  <c r="H41" i="28"/>
  <c r="H54" i="28" s="1"/>
  <c r="H55" i="28" s="1"/>
  <c r="H39" i="28"/>
  <c r="E39" i="28"/>
  <c r="E41" i="28"/>
  <c r="E54" i="28" s="1"/>
  <c r="E55" i="28" s="1"/>
  <c r="J39" i="28"/>
  <c r="J41" i="28"/>
  <c r="J54" i="28" s="1"/>
  <c r="J55" i="28" s="1"/>
  <c r="F39" i="28"/>
  <c r="F41" i="28"/>
  <c r="F54" i="28" s="1"/>
  <c r="F55" i="28" s="1"/>
  <c r="I41" i="28"/>
  <c r="I54" i="28" s="1"/>
  <c r="I55" i="28" s="1"/>
  <c r="I39" i="28"/>
  <c r="K39" i="28"/>
  <c r="K41" i="28"/>
  <c r="K54" i="28" s="1"/>
  <c r="K55" i="28" s="1"/>
  <c r="D41" i="28"/>
  <c r="D54" i="28" s="1"/>
  <c r="D55" i="28" s="1"/>
  <c r="D39" i="28"/>
  <c r="H16" i="28"/>
  <c r="H17" i="28"/>
  <c r="J16" i="28"/>
  <c r="J17" i="28"/>
  <c r="D16" i="28"/>
  <c r="D17" i="28"/>
  <c r="I16" i="28"/>
  <c r="I17" i="28"/>
  <c r="E16" i="28"/>
  <c r="E17" i="28"/>
  <c r="F16" i="28"/>
  <c r="F17" i="28"/>
  <c r="K16" i="28"/>
  <c r="K17" i="28"/>
  <c r="G13" i="28"/>
  <c r="G17" i="28"/>
  <c r="H29" i="10"/>
  <c r="H34" i="10" s="1"/>
  <c r="G29" i="10"/>
  <c r="E29" i="10"/>
  <c r="C29" i="10"/>
  <c r="C34" i="10" s="1"/>
  <c r="J29" i="10"/>
  <c r="I29" i="10"/>
  <c r="I34" i="10" s="1"/>
  <c r="D29" i="10"/>
  <c r="F29" i="10"/>
  <c r="P18" i="37" l="1"/>
  <c r="P20" i="37" s="1"/>
  <c r="I43" i="28"/>
  <c r="J43" i="28"/>
  <c r="G47" i="28"/>
  <c r="G49" i="28" s="1"/>
  <c r="G50" i="28" s="1"/>
  <c r="G63" i="28"/>
  <c r="G64" i="28" s="1"/>
  <c r="G58" i="28"/>
  <c r="G60" i="28" s="1"/>
  <c r="D43" i="28"/>
  <c r="K43" i="28"/>
  <c r="H43" i="28"/>
  <c r="E43" i="28"/>
  <c r="G41" i="28"/>
  <c r="G54" i="28" s="1"/>
  <c r="G55" i="28" s="1"/>
  <c r="G39" i="28"/>
  <c r="F43" i="28"/>
  <c r="G16" i="28"/>
  <c r="F27" i="28"/>
  <c r="F19" i="28"/>
  <c r="F33" i="28" s="1"/>
  <c r="E27" i="28"/>
  <c r="E19" i="28"/>
  <c r="E33" i="28" s="1"/>
  <c r="E34" i="28" s="1"/>
  <c r="E36" i="28" s="1"/>
  <c r="J27" i="28"/>
  <c r="J19" i="28"/>
  <c r="J33" i="28" s="1"/>
  <c r="H27" i="28"/>
  <c r="H19" i="28"/>
  <c r="H33" i="28" s="1"/>
  <c r="G34" i="10"/>
  <c r="K27" i="28"/>
  <c r="K19" i="28"/>
  <c r="K33" i="28" s="1"/>
  <c r="K34" i="28" s="1"/>
  <c r="K36" i="28" s="1"/>
  <c r="G27" i="28"/>
  <c r="G19" i="28"/>
  <c r="G33" i="28" s="1"/>
  <c r="G34" i="28" s="1"/>
  <c r="G36" i="28" s="1"/>
  <c r="I19" i="28"/>
  <c r="I33" i="28" s="1"/>
  <c r="I27" i="28"/>
  <c r="J34" i="10"/>
  <c r="D27" i="28"/>
  <c r="D19" i="28"/>
  <c r="D33" i="28" s="1"/>
  <c r="E34" i="10"/>
  <c r="F34" i="10"/>
  <c r="D34" i="10"/>
  <c r="P19" i="37" l="1"/>
  <c r="Q16" i="37" s="1"/>
  <c r="Q18" i="37" s="1"/>
  <c r="Q20" i="37" s="1"/>
  <c r="J51" i="28"/>
  <c r="H51" i="28"/>
  <c r="F51" i="28"/>
  <c r="K51" i="28"/>
  <c r="K44" i="28"/>
  <c r="D51" i="28"/>
  <c r="E51" i="28"/>
  <c r="E44" i="28"/>
  <c r="I51" i="28"/>
  <c r="G43" i="28"/>
  <c r="J34" i="28"/>
  <c r="J36" i="28" s="1"/>
  <c r="J44" i="28" s="1"/>
  <c r="G67" i="28"/>
  <c r="G69" i="28" s="1"/>
  <c r="H34" i="28"/>
  <c r="H36" i="28" s="1"/>
  <c r="H44" i="28" s="1"/>
  <c r="I34" i="28"/>
  <c r="I36" i="28" s="1"/>
  <c r="I44" i="28" s="1"/>
  <c r="E67" i="28"/>
  <c r="E69" i="28" s="1"/>
  <c r="D34" i="28"/>
  <c r="D36" i="28" s="1"/>
  <c r="D44" i="28" s="1"/>
  <c r="F34" i="28"/>
  <c r="F36" i="28" s="1"/>
  <c r="F44" i="28" s="1"/>
  <c r="K67" i="28"/>
  <c r="K69" i="28" s="1"/>
  <c r="Q19" i="37" l="1"/>
  <c r="R16" i="37" s="1"/>
  <c r="G51" i="28"/>
  <c r="G44" i="28"/>
  <c r="I67" i="28"/>
  <c r="I69" i="28" s="1"/>
  <c r="H67" i="28"/>
  <c r="H69" i="28" s="1"/>
  <c r="F67" i="28"/>
  <c r="F69" i="28" s="1"/>
  <c r="D67" i="28"/>
  <c r="J67" i="28"/>
  <c r="J69" i="28" s="1"/>
  <c r="R18" i="37" l="1"/>
  <c r="R20" i="37" s="1"/>
  <c r="D69" i="28"/>
  <c r="F14" i="43"/>
  <c r="F16" i="43" s="1"/>
  <c r="R19" i="37" l="1"/>
  <c r="S16" i="37" s="1"/>
  <c r="F19" i="43"/>
  <c r="F17" i="43"/>
  <c r="F18" i="43" s="1"/>
  <c r="G15" i="43" s="1"/>
  <c r="S18" i="37" l="1"/>
  <c r="S20" i="37" s="1"/>
  <c r="G17" i="43"/>
  <c r="G19" i="43" s="1"/>
  <c r="S19" i="37" l="1"/>
  <c r="T16" i="37" s="1"/>
  <c r="T18" i="37" s="1"/>
  <c r="T20" i="37" s="1"/>
  <c r="G18" i="43"/>
  <c r="H15" i="43" s="1"/>
  <c r="T19" i="37" l="1"/>
  <c r="U16" i="37" s="1"/>
  <c r="H17" i="43"/>
  <c r="H19" i="43" s="1"/>
  <c r="U18" i="37" l="1"/>
  <c r="U20" i="37" s="1"/>
  <c r="H18" i="43"/>
  <c r="I15" i="43" s="1"/>
  <c r="U19" i="37" l="1"/>
  <c r="V16" i="37" s="1"/>
  <c r="I17" i="43"/>
  <c r="I19" i="43" s="1"/>
  <c r="V18" i="37" l="1"/>
  <c r="V20" i="37" s="1"/>
  <c r="I18" i="43"/>
  <c r="F30" i="44"/>
  <c r="G30" i="44"/>
  <c r="G30" i="43"/>
  <c r="H30" i="43"/>
  <c r="I30" i="43"/>
  <c r="E30" i="44"/>
  <c r="V19" i="37" l="1"/>
  <c r="W16" i="37" s="1"/>
  <c r="W18" i="37" l="1"/>
  <c r="W20" i="37" s="1"/>
  <c r="W19" i="37" l="1"/>
  <c r="X16" i="37" s="1"/>
  <c r="X18" i="37" l="1"/>
  <c r="X20" i="37" s="1"/>
  <c r="X19" i="37" l="1"/>
  <c r="Y16" i="37" s="1"/>
  <c r="Y18" i="37" l="1"/>
  <c r="Y20" i="37" s="1"/>
  <c r="Y19" i="37" l="1"/>
  <c r="Z16" i="37" s="1"/>
  <c r="Z18" i="37" l="1"/>
  <c r="Z20" i="37" s="1"/>
  <c r="Z19" i="37" l="1"/>
  <c r="AA16" i="37" s="1"/>
  <c r="AA18" i="37" l="1"/>
  <c r="AA20" i="37" s="1"/>
  <c r="AA19" i="37" l="1"/>
  <c r="AB16" i="37" s="1"/>
  <c r="AB18" i="37" s="1"/>
  <c r="AB20" i="37" s="1"/>
  <c r="AB19" i="37" l="1"/>
  <c r="AC16" i="37" s="1"/>
  <c r="AC18" i="37" l="1"/>
  <c r="AC20" i="37" s="1"/>
  <c r="AC19" i="37" l="1"/>
  <c r="M20" i="51" l="1"/>
  <c r="F7" i="51"/>
  <c r="G7" i="51" s="1"/>
  <c r="F20" i="51"/>
  <c r="E4" i="44"/>
  <c r="F4" i="44"/>
  <c r="G4" i="44"/>
  <c r="H4" i="44"/>
  <c r="I4" i="44"/>
  <c r="J4" i="44"/>
  <c r="K4" i="44"/>
  <c r="L4" i="44"/>
  <c r="M4" i="44"/>
  <c r="N4" i="44"/>
  <c r="E7" i="44"/>
  <c r="F7" i="44"/>
  <c r="G7" i="44"/>
  <c r="H7" i="44"/>
  <c r="I7" i="44"/>
  <c r="J7" i="44"/>
  <c r="K7" i="44"/>
  <c r="L7" i="44"/>
  <c r="M7" i="44"/>
  <c r="N7" i="44"/>
  <c r="E8" i="44"/>
  <c r="F8" i="44"/>
  <c r="G8" i="44"/>
  <c r="H8" i="44"/>
  <c r="I8" i="44"/>
  <c r="J8" i="44"/>
  <c r="K8" i="44"/>
  <c r="L8" i="44"/>
  <c r="M8" i="44"/>
  <c r="N8" i="44"/>
  <c r="E9" i="44"/>
  <c r="F9" i="44"/>
  <c r="G9" i="44"/>
  <c r="H9" i="44"/>
  <c r="I9" i="44"/>
  <c r="J9" i="44"/>
  <c r="K9" i="44"/>
  <c r="L9" i="44"/>
  <c r="M9" i="44"/>
  <c r="N9" i="44"/>
  <c r="E10" i="44"/>
  <c r="F10" i="44"/>
  <c r="G10" i="44"/>
  <c r="H10" i="44"/>
  <c r="I10" i="44"/>
  <c r="J10" i="44"/>
  <c r="K10" i="44"/>
  <c r="L10" i="44"/>
  <c r="M10" i="44"/>
  <c r="N10" i="44"/>
  <c r="E20" i="44"/>
  <c r="F20" i="44"/>
  <c r="G20" i="44"/>
  <c r="H20" i="44"/>
  <c r="I20" i="44"/>
  <c r="J20" i="44"/>
  <c r="K20" i="44"/>
  <c r="L20" i="44"/>
  <c r="M20" i="44"/>
  <c r="N20" i="44"/>
  <c r="E21" i="44"/>
  <c r="F21" i="44"/>
  <c r="G21" i="44"/>
  <c r="H21" i="44"/>
  <c r="I21" i="44"/>
  <c r="J21" i="44"/>
  <c r="K21" i="44"/>
  <c r="L21" i="44"/>
  <c r="M21" i="44"/>
  <c r="N21" i="44"/>
  <c r="E24" i="44"/>
  <c r="F24" i="44"/>
  <c r="G24" i="44"/>
  <c r="H24" i="44"/>
  <c r="I24" i="44"/>
  <c r="J24" i="44"/>
  <c r="K24" i="44"/>
  <c r="L24" i="44"/>
  <c r="M24" i="44"/>
  <c r="N24" i="44"/>
  <c r="F25" i="44"/>
  <c r="G25" i="44"/>
  <c r="H25" i="44"/>
  <c r="I25" i="44"/>
  <c r="J25" i="44"/>
  <c r="K25" i="44"/>
  <c r="L25" i="44"/>
  <c r="M25" i="44"/>
  <c r="N25" i="44"/>
  <c r="E26" i="44"/>
  <c r="F26" i="44"/>
  <c r="G26" i="44"/>
  <c r="H26" i="44"/>
  <c r="I26" i="44"/>
  <c r="J26" i="44"/>
  <c r="K26" i="44"/>
  <c r="L26" i="44"/>
  <c r="M26" i="44"/>
  <c r="N26" i="44"/>
  <c r="E27" i="44"/>
  <c r="F27" i="44"/>
  <c r="G27" i="44"/>
  <c r="H27" i="44"/>
  <c r="I27" i="44"/>
  <c r="J27" i="44"/>
  <c r="K27" i="44"/>
  <c r="L27" i="44"/>
  <c r="M27" i="44"/>
  <c r="N27" i="44"/>
  <c r="E28" i="44"/>
  <c r="F28" i="44"/>
  <c r="G28" i="44"/>
  <c r="H28" i="44"/>
  <c r="I28" i="44"/>
  <c r="J28" i="44"/>
  <c r="K28" i="44"/>
  <c r="L28" i="44"/>
  <c r="M28" i="44"/>
  <c r="N28" i="44"/>
  <c r="E29" i="44"/>
  <c r="F29" i="44"/>
  <c r="G29" i="44"/>
  <c r="H29" i="44"/>
  <c r="I29" i="44"/>
  <c r="J29" i="44"/>
  <c r="K29" i="44"/>
  <c r="L29" i="44"/>
  <c r="M29" i="44"/>
  <c r="N29" i="44"/>
  <c r="H30" i="44"/>
  <c r="I30" i="44"/>
  <c r="J30" i="44"/>
  <c r="K30" i="44"/>
  <c r="L30" i="44"/>
  <c r="M30" i="44"/>
  <c r="N30" i="44"/>
  <c r="E31" i="44"/>
  <c r="F31" i="44"/>
  <c r="G31" i="44"/>
  <c r="H31" i="44"/>
  <c r="I31" i="44"/>
  <c r="J31" i="44"/>
  <c r="K31" i="44"/>
  <c r="L31" i="44"/>
  <c r="M31" i="44"/>
  <c r="N31" i="44"/>
  <c r="E32" i="44"/>
  <c r="F32" i="44"/>
  <c r="G32" i="44"/>
  <c r="H32" i="44"/>
  <c r="I32" i="44"/>
  <c r="J32" i="44"/>
  <c r="K32" i="44"/>
  <c r="L32" i="44"/>
  <c r="M32" i="44"/>
  <c r="N32" i="44"/>
  <c r="E33" i="44"/>
  <c r="F33" i="44"/>
  <c r="G33" i="44"/>
  <c r="H33" i="44"/>
  <c r="I33" i="44"/>
  <c r="J33" i="44"/>
  <c r="K33" i="44"/>
  <c r="L33" i="44"/>
  <c r="M33" i="44"/>
  <c r="N33" i="44"/>
  <c r="E34" i="44"/>
  <c r="F34" i="44"/>
  <c r="G34" i="44"/>
  <c r="H34" i="44"/>
  <c r="I34" i="44"/>
  <c r="J34" i="44"/>
  <c r="K34" i="44"/>
  <c r="L34" i="44"/>
  <c r="M34" i="44"/>
  <c r="N34" i="44"/>
  <c r="F37" i="44"/>
  <c r="G37" i="44"/>
  <c r="H37" i="44"/>
  <c r="I37" i="44"/>
  <c r="J37" i="44"/>
  <c r="K37" i="44"/>
  <c r="L37" i="44"/>
  <c r="M37" i="44"/>
  <c r="N37" i="44"/>
  <c r="E38" i="44"/>
  <c r="F38" i="44"/>
  <c r="G38" i="44"/>
  <c r="H38" i="44"/>
  <c r="I38" i="44"/>
  <c r="J38" i="44"/>
  <c r="K38" i="44"/>
  <c r="L38" i="44"/>
  <c r="M38" i="44"/>
  <c r="N38" i="44"/>
  <c r="E39" i="44"/>
  <c r="F39" i="44"/>
  <c r="G39" i="44"/>
  <c r="H39" i="44"/>
  <c r="I39" i="44"/>
  <c r="J39" i="44"/>
  <c r="K39" i="44"/>
  <c r="L39" i="44"/>
  <c r="M39" i="44"/>
  <c r="N39" i="44"/>
  <c r="E40" i="44"/>
  <c r="F40" i="44"/>
  <c r="G40" i="44"/>
  <c r="H40" i="44"/>
  <c r="I40" i="44"/>
  <c r="J40" i="44"/>
  <c r="K40" i="44"/>
  <c r="L40" i="44"/>
  <c r="M40" i="44"/>
  <c r="N40" i="44"/>
  <c r="E41" i="44"/>
  <c r="F41" i="44"/>
  <c r="G41" i="44"/>
  <c r="H41" i="44"/>
  <c r="I41" i="44"/>
  <c r="J41" i="44"/>
  <c r="K41" i="44"/>
  <c r="L41" i="44"/>
  <c r="M41" i="44"/>
  <c r="N41" i="44"/>
  <c r="E42" i="44"/>
  <c r="F42" i="44"/>
  <c r="G42" i="44"/>
  <c r="H42" i="44"/>
  <c r="I42" i="44"/>
  <c r="J42" i="44"/>
  <c r="K42" i="44"/>
  <c r="L42" i="44"/>
  <c r="M42" i="44"/>
  <c r="N42" i="44"/>
  <c r="E43" i="44"/>
  <c r="F43" i="44"/>
  <c r="G43" i="44"/>
  <c r="H43" i="44"/>
  <c r="I43" i="44"/>
  <c r="J43" i="44"/>
  <c r="K43" i="44"/>
  <c r="L43" i="44"/>
  <c r="M43" i="44"/>
  <c r="N43" i="44"/>
  <c r="E47" i="44"/>
  <c r="F47" i="44"/>
  <c r="G47" i="44"/>
  <c r="H47" i="44"/>
  <c r="I47" i="44"/>
  <c r="J47" i="44"/>
  <c r="K47" i="44"/>
  <c r="L47" i="44"/>
  <c r="M47" i="44"/>
  <c r="N47" i="44"/>
  <c r="E48" i="44"/>
  <c r="F48" i="44"/>
  <c r="G48" i="44"/>
  <c r="H48" i="44"/>
  <c r="I48" i="44"/>
  <c r="J48" i="44"/>
  <c r="K48" i="44"/>
  <c r="L48" i="44"/>
  <c r="M48" i="44"/>
  <c r="N48" i="44"/>
  <c r="E49" i="44"/>
  <c r="F49" i="44"/>
  <c r="G49" i="44"/>
  <c r="H49" i="44"/>
  <c r="I49" i="44"/>
  <c r="J49" i="44"/>
  <c r="K49" i="44"/>
  <c r="L49" i="44"/>
  <c r="M49" i="44"/>
  <c r="N49" i="44"/>
  <c r="E5" i="37"/>
  <c r="F5" i="37"/>
  <c r="G5" i="37"/>
  <c r="H5" i="37"/>
  <c r="I5" i="37"/>
  <c r="J5" i="37"/>
  <c r="K5" i="37"/>
  <c r="L5" i="37"/>
  <c r="M5" i="37"/>
  <c r="N5" i="37"/>
  <c r="O5" i="37"/>
  <c r="P5" i="37"/>
  <c r="Q5" i="37"/>
  <c r="R5" i="37"/>
  <c r="S5" i="37"/>
  <c r="T5" i="37"/>
  <c r="U5" i="37"/>
  <c r="V5" i="37"/>
  <c r="W5" i="37"/>
  <c r="X5" i="37"/>
  <c r="Y5" i="37"/>
  <c r="Z5" i="37"/>
  <c r="AA5" i="37"/>
  <c r="AB5" i="37"/>
  <c r="AC5" i="37"/>
  <c r="E8" i="37"/>
  <c r="F8" i="37"/>
  <c r="G8" i="37"/>
  <c r="H8" i="37"/>
  <c r="I8" i="37"/>
  <c r="J8" i="37"/>
  <c r="K8" i="37"/>
  <c r="L8" i="37"/>
  <c r="M8" i="37"/>
  <c r="N8" i="37"/>
  <c r="O8" i="37"/>
  <c r="P8" i="37"/>
  <c r="Q8" i="37"/>
  <c r="R8" i="37"/>
  <c r="S8" i="37"/>
  <c r="T8" i="37"/>
  <c r="U8" i="37"/>
  <c r="V8" i="37"/>
  <c r="W8" i="37"/>
  <c r="X8" i="37"/>
  <c r="Y8" i="37"/>
  <c r="Z8" i="37"/>
  <c r="AA8" i="37"/>
  <c r="AB8" i="37"/>
  <c r="AC8" i="37"/>
  <c r="E9" i="37"/>
  <c r="F9" i="37"/>
  <c r="G9" i="37"/>
  <c r="H9" i="37"/>
  <c r="I9" i="37"/>
  <c r="J9" i="37"/>
  <c r="K9" i="37"/>
  <c r="L9" i="37"/>
  <c r="M9" i="37"/>
  <c r="N9" i="37"/>
  <c r="O9" i="37"/>
  <c r="P9" i="37"/>
  <c r="Q9" i="37"/>
  <c r="R9" i="37"/>
  <c r="S9" i="37"/>
  <c r="T9" i="37"/>
  <c r="U9" i="37"/>
  <c r="V9" i="37"/>
  <c r="W9" i="37"/>
  <c r="X9" i="37"/>
  <c r="Y9" i="37"/>
  <c r="Z9" i="37"/>
  <c r="AA9" i="37"/>
  <c r="AB9" i="37"/>
  <c r="AC9" i="37"/>
  <c r="E10" i="37"/>
  <c r="F10" i="37"/>
  <c r="G10" i="37"/>
  <c r="H10" i="37"/>
  <c r="I10" i="37"/>
  <c r="J10" i="37"/>
  <c r="K10" i="37"/>
  <c r="L10" i="37"/>
  <c r="M10" i="37"/>
  <c r="N10" i="37"/>
  <c r="O10" i="37"/>
  <c r="P10" i="37"/>
  <c r="Q10" i="37"/>
  <c r="R10" i="37"/>
  <c r="S10" i="37"/>
  <c r="T10" i="37"/>
  <c r="U10" i="37"/>
  <c r="V10" i="37"/>
  <c r="W10" i="37"/>
  <c r="X10" i="37"/>
  <c r="Y10" i="37"/>
  <c r="Z10" i="37"/>
  <c r="AA10" i="37"/>
  <c r="AB10" i="37"/>
  <c r="AC10" i="37"/>
  <c r="E11" i="37"/>
  <c r="F11" i="37"/>
  <c r="G11" i="37"/>
  <c r="H11" i="37"/>
  <c r="I11" i="37"/>
  <c r="J11" i="37"/>
  <c r="K11" i="37"/>
  <c r="L11" i="37"/>
  <c r="M11" i="37"/>
  <c r="N11" i="37"/>
  <c r="O11" i="37"/>
  <c r="P11" i="37"/>
  <c r="Q11" i="37"/>
  <c r="R11" i="37"/>
  <c r="S11" i="37"/>
  <c r="T11" i="37"/>
  <c r="U11" i="37"/>
  <c r="V11" i="37"/>
  <c r="W11" i="37"/>
  <c r="X11" i="37"/>
  <c r="Y11" i="37"/>
  <c r="Z11" i="37"/>
  <c r="AA11" i="37"/>
  <c r="AB11" i="37"/>
  <c r="AC11" i="37"/>
  <c r="E21" i="37"/>
  <c r="F21" i="37"/>
  <c r="G21" i="37"/>
  <c r="H21" i="37"/>
  <c r="I21" i="37"/>
  <c r="J21" i="37"/>
  <c r="K21" i="37"/>
  <c r="L21" i="37"/>
  <c r="M21" i="37"/>
  <c r="N21" i="37"/>
  <c r="O21" i="37"/>
  <c r="P21" i="37"/>
  <c r="Q21" i="37"/>
  <c r="R21" i="37"/>
  <c r="S21" i="37"/>
  <c r="T21" i="37"/>
  <c r="U21" i="37"/>
  <c r="V21" i="37"/>
  <c r="W21" i="37"/>
  <c r="X21" i="37"/>
  <c r="Y21" i="37"/>
  <c r="Z21" i="37"/>
  <c r="AA21" i="37"/>
  <c r="AB21" i="37"/>
  <c r="AC21" i="37"/>
  <c r="E22" i="37"/>
  <c r="F22" i="37"/>
  <c r="G22" i="37"/>
  <c r="H22" i="37"/>
  <c r="I22" i="37"/>
  <c r="J22" i="37"/>
  <c r="K22" i="37"/>
  <c r="L22" i="37"/>
  <c r="M22" i="37"/>
  <c r="N22" i="37"/>
  <c r="O22" i="37"/>
  <c r="P22" i="37"/>
  <c r="Q22" i="37"/>
  <c r="R22" i="37"/>
  <c r="S22" i="37"/>
  <c r="T22" i="37"/>
  <c r="U22" i="37"/>
  <c r="V22" i="37"/>
  <c r="W22" i="37"/>
  <c r="X22" i="37"/>
  <c r="Y22" i="37"/>
  <c r="Z22" i="37"/>
  <c r="AA22" i="37"/>
  <c r="AB22" i="37"/>
  <c r="AC22" i="37"/>
  <c r="E25" i="37"/>
  <c r="F25" i="37"/>
  <c r="G25" i="37"/>
  <c r="H25" i="37"/>
  <c r="I25" i="37"/>
  <c r="J25" i="37"/>
  <c r="K25" i="37"/>
  <c r="L25" i="37"/>
  <c r="M25" i="37"/>
  <c r="N25" i="37"/>
  <c r="O25" i="37"/>
  <c r="P25" i="37"/>
  <c r="Q25" i="37"/>
  <c r="R25" i="37"/>
  <c r="S25" i="37"/>
  <c r="T25" i="37"/>
  <c r="U25" i="37"/>
  <c r="V25" i="37"/>
  <c r="W25" i="37"/>
  <c r="X25" i="37"/>
  <c r="Y25" i="37"/>
  <c r="Z25" i="37"/>
  <c r="AA25" i="37"/>
  <c r="AB25" i="37"/>
  <c r="AC25" i="37"/>
  <c r="F26" i="37"/>
  <c r="G26" i="37"/>
  <c r="H26" i="37"/>
  <c r="I26" i="37"/>
  <c r="J26" i="37"/>
  <c r="K26" i="37"/>
  <c r="L26" i="37"/>
  <c r="M26" i="37"/>
  <c r="N26" i="37"/>
  <c r="O26" i="37"/>
  <c r="P26" i="37"/>
  <c r="Q26" i="37"/>
  <c r="R26" i="37"/>
  <c r="S26" i="37"/>
  <c r="T26" i="37"/>
  <c r="U26" i="37"/>
  <c r="V26" i="37"/>
  <c r="W26" i="37"/>
  <c r="X26" i="37"/>
  <c r="Y26" i="37"/>
  <c r="Z26" i="37"/>
  <c r="AA26" i="37"/>
  <c r="AB26" i="37"/>
  <c r="AC26" i="37"/>
  <c r="E27" i="37"/>
  <c r="F27" i="37"/>
  <c r="G27" i="37"/>
  <c r="H27" i="37"/>
  <c r="I27" i="37"/>
  <c r="J27" i="37"/>
  <c r="K27" i="37"/>
  <c r="L27" i="37"/>
  <c r="M27" i="37"/>
  <c r="N27" i="37"/>
  <c r="O27" i="37"/>
  <c r="P27" i="37"/>
  <c r="Q27" i="37"/>
  <c r="R27" i="37"/>
  <c r="S27" i="37"/>
  <c r="T27" i="37"/>
  <c r="U27" i="37"/>
  <c r="V27" i="37"/>
  <c r="W27" i="37"/>
  <c r="X27" i="37"/>
  <c r="Y27" i="37"/>
  <c r="Z27" i="37"/>
  <c r="AA27" i="37"/>
  <c r="AB27" i="37"/>
  <c r="AC27" i="37"/>
  <c r="E28" i="37"/>
  <c r="F28" i="37"/>
  <c r="G28" i="37"/>
  <c r="H28" i="37"/>
  <c r="I28" i="37"/>
  <c r="J28" i="37"/>
  <c r="K28" i="37"/>
  <c r="L28" i="37"/>
  <c r="M28" i="37"/>
  <c r="N28" i="37"/>
  <c r="O28" i="37"/>
  <c r="P28" i="37"/>
  <c r="Q28" i="37"/>
  <c r="R28" i="37"/>
  <c r="S28" i="37"/>
  <c r="T28" i="37"/>
  <c r="U28" i="37"/>
  <c r="V28" i="37"/>
  <c r="W28" i="37"/>
  <c r="X28" i="37"/>
  <c r="Y28" i="37"/>
  <c r="Z28" i="37"/>
  <c r="AA28" i="37"/>
  <c r="AB28" i="37"/>
  <c r="AC28" i="37"/>
  <c r="E29" i="37"/>
  <c r="F29" i="37"/>
  <c r="G29" i="37"/>
  <c r="H29" i="37"/>
  <c r="I29" i="37"/>
  <c r="J29" i="37"/>
  <c r="K29" i="37"/>
  <c r="L29" i="37"/>
  <c r="M29" i="37"/>
  <c r="N29" i="37"/>
  <c r="O29" i="37"/>
  <c r="P29" i="37"/>
  <c r="Q29" i="37"/>
  <c r="R29" i="37"/>
  <c r="S29" i="37"/>
  <c r="T29" i="37"/>
  <c r="U29" i="37"/>
  <c r="V29" i="37"/>
  <c r="W29" i="37"/>
  <c r="X29" i="37"/>
  <c r="Y29" i="37"/>
  <c r="Z29" i="37"/>
  <c r="AA29" i="37"/>
  <c r="AB29" i="37"/>
  <c r="AC29" i="37"/>
  <c r="E30" i="37"/>
  <c r="F30" i="37"/>
  <c r="G30" i="37"/>
  <c r="H30" i="37"/>
  <c r="I30" i="37"/>
  <c r="J30" i="37"/>
  <c r="K30" i="37"/>
  <c r="L30" i="37"/>
  <c r="M30" i="37"/>
  <c r="N30" i="37"/>
  <c r="O30" i="37"/>
  <c r="P30" i="37"/>
  <c r="Q30" i="37"/>
  <c r="R30" i="37"/>
  <c r="S30" i="37"/>
  <c r="T30" i="37"/>
  <c r="U30" i="37"/>
  <c r="V30" i="37"/>
  <c r="W30" i="37"/>
  <c r="X30" i="37"/>
  <c r="Y30" i="37"/>
  <c r="Z30" i="37"/>
  <c r="AA30" i="37"/>
  <c r="AB30" i="37"/>
  <c r="AC30" i="37"/>
  <c r="E31" i="37"/>
  <c r="F31" i="37"/>
  <c r="G31" i="37"/>
  <c r="H31" i="37"/>
  <c r="I31" i="37"/>
  <c r="J31" i="37"/>
  <c r="K31" i="37"/>
  <c r="L31" i="37"/>
  <c r="M31" i="37"/>
  <c r="N31" i="37"/>
  <c r="O31" i="37"/>
  <c r="P31" i="37"/>
  <c r="Q31" i="37"/>
  <c r="R31" i="37"/>
  <c r="S31" i="37"/>
  <c r="T31" i="37"/>
  <c r="U31" i="37"/>
  <c r="V31" i="37"/>
  <c r="W31" i="37"/>
  <c r="X31" i="37"/>
  <c r="Y31" i="37"/>
  <c r="Z31" i="37"/>
  <c r="AA31" i="37"/>
  <c r="AB31" i="37"/>
  <c r="AC31" i="37"/>
  <c r="E32" i="37"/>
  <c r="F32" i="37"/>
  <c r="G32" i="37"/>
  <c r="H32" i="37"/>
  <c r="I32" i="37"/>
  <c r="J32" i="37"/>
  <c r="K32" i="37"/>
  <c r="L32" i="37"/>
  <c r="M32" i="37"/>
  <c r="N32" i="37"/>
  <c r="O32" i="37"/>
  <c r="P32" i="37"/>
  <c r="Q32" i="37"/>
  <c r="R32" i="37"/>
  <c r="S32" i="37"/>
  <c r="T32" i="37"/>
  <c r="U32" i="37"/>
  <c r="V32" i="37"/>
  <c r="W32" i="37"/>
  <c r="X32" i="37"/>
  <c r="Y32" i="37"/>
  <c r="Z32" i="37"/>
  <c r="AA32" i="37"/>
  <c r="AB32" i="37"/>
  <c r="AC32" i="37"/>
  <c r="E33" i="37"/>
  <c r="F33" i="37"/>
  <c r="G33" i="37"/>
  <c r="H33" i="37"/>
  <c r="I33" i="37"/>
  <c r="J33" i="37"/>
  <c r="K33" i="37"/>
  <c r="L33" i="37"/>
  <c r="M33" i="37"/>
  <c r="N33" i="37"/>
  <c r="O33" i="37"/>
  <c r="P33" i="37"/>
  <c r="Q33" i="37"/>
  <c r="R33" i="37"/>
  <c r="S33" i="37"/>
  <c r="T33" i="37"/>
  <c r="U33" i="37"/>
  <c r="V33" i="37"/>
  <c r="W33" i="37"/>
  <c r="X33" i="37"/>
  <c r="Y33" i="37"/>
  <c r="Z33" i="37"/>
  <c r="AA33" i="37"/>
  <c r="AB33" i="37"/>
  <c r="AC33" i="37"/>
  <c r="E34" i="37"/>
  <c r="F34" i="37"/>
  <c r="G34" i="37"/>
  <c r="H34" i="37"/>
  <c r="I34" i="37"/>
  <c r="J34" i="37"/>
  <c r="K34" i="37"/>
  <c r="L34" i="37"/>
  <c r="M34" i="37"/>
  <c r="N34" i="37"/>
  <c r="O34" i="37"/>
  <c r="P34" i="37"/>
  <c r="Q34" i="37"/>
  <c r="R34" i="37"/>
  <c r="S34" i="37"/>
  <c r="T34" i="37"/>
  <c r="U34" i="37"/>
  <c r="V34" i="37"/>
  <c r="W34" i="37"/>
  <c r="X34" i="37"/>
  <c r="Y34" i="37"/>
  <c r="Z34" i="37"/>
  <c r="AA34" i="37"/>
  <c r="AB34" i="37"/>
  <c r="AC34" i="37"/>
  <c r="E35" i="37"/>
  <c r="F35" i="37"/>
  <c r="G35" i="37"/>
  <c r="H35" i="37"/>
  <c r="I35" i="37"/>
  <c r="J35" i="37"/>
  <c r="K35" i="37"/>
  <c r="L35" i="37"/>
  <c r="M35" i="37"/>
  <c r="N35" i="37"/>
  <c r="O35" i="37"/>
  <c r="P35" i="37"/>
  <c r="Q35" i="37"/>
  <c r="R35" i="37"/>
  <c r="S35" i="37"/>
  <c r="T35" i="37"/>
  <c r="U35" i="37"/>
  <c r="V35" i="37"/>
  <c r="W35" i="37"/>
  <c r="X35" i="37"/>
  <c r="Y35" i="37"/>
  <c r="Z35" i="37"/>
  <c r="AA35" i="37"/>
  <c r="AB35" i="37"/>
  <c r="AC35" i="37"/>
  <c r="F38" i="37"/>
  <c r="G38" i="37"/>
  <c r="H38" i="37"/>
  <c r="I38" i="37"/>
  <c r="J38" i="37"/>
  <c r="K38" i="37"/>
  <c r="L38" i="37"/>
  <c r="M38" i="37"/>
  <c r="N38" i="37"/>
  <c r="O38" i="37"/>
  <c r="P38" i="37"/>
  <c r="Q38" i="37"/>
  <c r="R38" i="37"/>
  <c r="S38" i="37"/>
  <c r="T38" i="37"/>
  <c r="U38" i="37"/>
  <c r="V38" i="37"/>
  <c r="W38" i="37"/>
  <c r="X38" i="37"/>
  <c r="Y38" i="37"/>
  <c r="Z38" i="37"/>
  <c r="AA38" i="37"/>
  <c r="AB38" i="37"/>
  <c r="AC38" i="37"/>
  <c r="E39" i="37"/>
  <c r="F39" i="37"/>
  <c r="G39" i="37"/>
  <c r="H39" i="37"/>
  <c r="I39" i="37"/>
  <c r="J39" i="37"/>
  <c r="K39" i="37"/>
  <c r="L39" i="37"/>
  <c r="M39" i="37"/>
  <c r="N39" i="37"/>
  <c r="O39" i="37"/>
  <c r="P39" i="37"/>
  <c r="Q39" i="37"/>
  <c r="R39" i="37"/>
  <c r="S39" i="37"/>
  <c r="T39" i="37"/>
  <c r="U39" i="37"/>
  <c r="V39" i="37"/>
  <c r="W39" i="37"/>
  <c r="X39" i="37"/>
  <c r="Y39" i="37"/>
  <c r="Z39" i="37"/>
  <c r="AA39" i="37"/>
  <c r="AB39" i="37"/>
  <c r="AC39" i="37"/>
  <c r="E40" i="37"/>
  <c r="F40" i="37"/>
  <c r="G40" i="37"/>
  <c r="H40" i="37"/>
  <c r="I40" i="37"/>
  <c r="J40" i="37"/>
  <c r="K40" i="37"/>
  <c r="L40" i="37"/>
  <c r="M40" i="37"/>
  <c r="N40" i="37"/>
  <c r="O40" i="37"/>
  <c r="P40" i="37"/>
  <c r="Q40" i="37"/>
  <c r="R40" i="37"/>
  <c r="S40" i="37"/>
  <c r="T40" i="37"/>
  <c r="U40" i="37"/>
  <c r="V40" i="37"/>
  <c r="W40" i="37"/>
  <c r="X40" i="37"/>
  <c r="Y40" i="37"/>
  <c r="Z40" i="37"/>
  <c r="AA40" i="37"/>
  <c r="AB40" i="37"/>
  <c r="AC40" i="37"/>
  <c r="E41" i="37"/>
  <c r="F41" i="37"/>
  <c r="G41" i="37"/>
  <c r="H41" i="37"/>
  <c r="I41" i="37"/>
  <c r="J41" i="37"/>
  <c r="K41" i="37"/>
  <c r="L41" i="37"/>
  <c r="M41" i="37"/>
  <c r="N41" i="37"/>
  <c r="O41" i="37"/>
  <c r="P41" i="37"/>
  <c r="Q41" i="37"/>
  <c r="R41" i="37"/>
  <c r="S41" i="37"/>
  <c r="T41" i="37"/>
  <c r="U41" i="37"/>
  <c r="V41" i="37"/>
  <c r="W41" i="37"/>
  <c r="X41" i="37"/>
  <c r="Y41" i="37"/>
  <c r="Z41" i="37"/>
  <c r="AA41" i="37"/>
  <c r="AB41" i="37"/>
  <c r="AC41" i="37"/>
  <c r="E42" i="37"/>
  <c r="F42" i="37"/>
  <c r="G42" i="37"/>
  <c r="H42" i="37"/>
  <c r="I42" i="37"/>
  <c r="J42" i="37"/>
  <c r="K42" i="37"/>
  <c r="L42" i="37"/>
  <c r="M42" i="37"/>
  <c r="N42" i="37"/>
  <c r="O42" i="37"/>
  <c r="P42" i="37"/>
  <c r="Q42" i="37"/>
  <c r="R42" i="37"/>
  <c r="S42" i="37"/>
  <c r="T42" i="37"/>
  <c r="U42" i="37"/>
  <c r="V42" i="37"/>
  <c r="W42" i="37"/>
  <c r="X42" i="37"/>
  <c r="Y42" i="37"/>
  <c r="Z42" i="37"/>
  <c r="AA42" i="37"/>
  <c r="AB42" i="37"/>
  <c r="AC42" i="37"/>
  <c r="E43" i="37"/>
  <c r="F43" i="37"/>
  <c r="G43" i="37"/>
  <c r="H43" i="37"/>
  <c r="I43" i="37"/>
  <c r="J43" i="37"/>
  <c r="K43" i="37"/>
  <c r="L43" i="37"/>
  <c r="M43" i="37"/>
  <c r="N43" i="37"/>
  <c r="O43" i="37"/>
  <c r="P43" i="37"/>
  <c r="Q43" i="37"/>
  <c r="R43" i="37"/>
  <c r="S43" i="37"/>
  <c r="T43" i="37"/>
  <c r="U43" i="37"/>
  <c r="V43" i="37"/>
  <c r="W43" i="37"/>
  <c r="X43" i="37"/>
  <c r="Y43" i="37"/>
  <c r="Z43" i="37"/>
  <c r="AA43" i="37"/>
  <c r="AB43" i="37"/>
  <c r="AC43" i="37"/>
  <c r="E44" i="37"/>
  <c r="F44" i="37"/>
  <c r="G44" i="37"/>
  <c r="H44" i="37"/>
  <c r="I44" i="37"/>
  <c r="J44" i="37"/>
  <c r="K44" i="37"/>
  <c r="L44" i="37"/>
  <c r="M44" i="37"/>
  <c r="N44" i="37"/>
  <c r="O44" i="37"/>
  <c r="P44" i="37"/>
  <c r="Q44" i="37"/>
  <c r="R44" i="37"/>
  <c r="S44" i="37"/>
  <c r="T44" i="37"/>
  <c r="U44" i="37"/>
  <c r="V44" i="37"/>
  <c r="W44" i="37"/>
  <c r="X44" i="37"/>
  <c r="Y44" i="37"/>
  <c r="Z44" i="37"/>
  <c r="AA44" i="37"/>
  <c r="AB44" i="37"/>
  <c r="AC44" i="37"/>
  <c r="E48" i="37"/>
  <c r="F48" i="37"/>
  <c r="G48" i="37"/>
  <c r="H48" i="37"/>
  <c r="I48" i="37"/>
  <c r="J48" i="37"/>
  <c r="K48" i="37"/>
  <c r="L48" i="37"/>
  <c r="M48" i="37"/>
  <c r="N48" i="37"/>
  <c r="O48" i="37"/>
  <c r="P48" i="37"/>
  <c r="Q48" i="37"/>
  <c r="R48" i="37"/>
  <c r="S48" i="37"/>
  <c r="T48" i="37"/>
  <c r="U48" i="37"/>
  <c r="V48" i="37"/>
  <c r="W48" i="37"/>
  <c r="X48" i="37"/>
  <c r="Y48" i="37"/>
  <c r="Z48" i="37"/>
  <c r="AA48" i="37"/>
  <c r="AB48" i="37"/>
  <c r="AC48" i="37"/>
  <c r="E49" i="37"/>
  <c r="F49" i="37"/>
  <c r="G49" i="37"/>
  <c r="H49" i="37"/>
  <c r="I49" i="37"/>
  <c r="J49" i="37"/>
  <c r="K49" i="37"/>
  <c r="L49" i="37"/>
  <c r="M49" i="37"/>
  <c r="N49" i="37"/>
  <c r="O49" i="37"/>
  <c r="P49" i="37"/>
  <c r="Q49" i="37"/>
  <c r="R49" i="37"/>
  <c r="S49" i="37"/>
  <c r="T49" i="37"/>
  <c r="U49" i="37"/>
  <c r="V49" i="37"/>
  <c r="W49" i="37"/>
  <c r="X49" i="37"/>
  <c r="Y49" i="37"/>
  <c r="Z49" i="37"/>
  <c r="AA49" i="37"/>
  <c r="AB49" i="37"/>
  <c r="AC49" i="37"/>
  <c r="E50" i="37"/>
  <c r="F50" i="37"/>
  <c r="G50" i="37"/>
  <c r="H50" i="37"/>
  <c r="I50" i="37"/>
  <c r="J50" i="37"/>
  <c r="K50" i="37"/>
  <c r="L50" i="37"/>
  <c r="M50" i="37"/>
  <c r="N50" i="37"/>
  <c r="O50" i="37"/>
  <c r="P50" i="37"/>
  <c r="Q50" i="37"/>
  <c r="R50" i="37"/>
  <c r="S50" i="37"/>
  <c r="T50" i="37"/>
  <c r="U50" i="37"/>
  <c r="V50" i="37"/>
  <c r="W50" i="37"/>
  <c r="X50" i="37"/>
  <c r="Y50" i="37"/>
  <c r="Z50" i="37"/>
  <c r="AA50" i="37"/>
  <c r="AB50" i="37"/>
  <c r="AC50" i="37"/>
  <c r="E4" i="41"/>
  <c r="F4" i="41"/>
  <c r="G4" i="41"/>
  <c r="H4" i="41"/>
  <c r="I4" i="41"/>
  <c r="J4" i="41"/>
  <c r="K4" i="41"/>
  <c r="L4" i="41"/>
  <c r="M4" i="41"/>
  <c r="N4" i="41"/>
  <c r="O4" i="41"/>
  <c r="P4" i="41"/>
  <c r="Q4" i="41"/>
  <c r="R4" i="41"/>
  <c r="S4" i="41"/>
  <c r="T4" i="41"/>
  <c r="U4" i="41"/>
  <c r="V4" i="41"/>
  <c r="W4" i="41"/>
  <c r="X4" i="41"/>
  <c r="Y4" i="41"/>
  <c r="Z4" i="41"/>
  <c r="AA4" i="41"/>
  <c r="AB4" i="41"/>
  <c r="AC4" i="41"/>
  <c r="E6" i="41"/>
  <c r="F6" i="41"/>
  <c r="G6" i="41"/>
  <c r="H6" i="41"/>
  <c r="I6" i="41"/>
  <c r="J6" i="41"/>
  <c r="K6" i="41"/>
  <c r="L6" i="41"/>
  <c r="M6" i="41"/>
  <c r="N6" i="41"/>
  <c r="O6" i="41"/>
  <c r="P6" i="41"/>
  <c r="Q6" i="41"/>
  <c r="R6" i="41"/>
  <c r="S6" i="41"/>
  <c r="T6" i="41"/>
  <c r="U6" i="41"/>
  <c r="V6" i="41"/>
  <c r="W6" i="41"/>
  <c r="X6" i="41"/>
  <c r="Y6" i="41"/>
  <c r="Z6" i="41"/>
  <c r="AA6" i="41"/>
  <c r="AB6" i="41"/>
  <c r="AC6" i="41"/>
  <c r="E14" i="41"/>
  <c r="F14" i="41"/>
  <c r="G14" i="41"/>
  <c r="H14" i="41"/>
  <c r="I14" i="41"/>
  <c r="J14" i="41"/>
  <c r="K14" i="41"/>
  <c r="L14" i="41"/>
  <c r="M14" i="41"/>
  <c r="N14" i="41"/>
  <c r="O14" i="41"/>
  <c r="P14" i="41"/>
  <c r="Q14" i="41"/>
  <c r="R14" i="41"/>
  <c r="S14" i="41"/>
  <c r="T14" i="41"/>
  <c r="U14" i="41"/>
  <c r="V14" i="41"/>
  <c r="W14" i="41"/>
  <c r="X14" i="41"/>
  <c r="Y14" i="41"/>
  <c r="Z14" i="41"/>
  <c r="AA14" i="41"/>
  <c r="AB14" i="41"/>
  <c r="AC14" i="41"/>
  <c r="E15" i="41"/>
  <c r="F15" i="41"/>
  <c r="G15" i="41"/>
  <c r="H15" i="41"/>
  <c r="I15" i="41"/>
  <c r="J15" i="41"/>
  <c r="K15" i="41"/>
  <c r="L15" i="41"/>
  <c r="M15" i="41"/>
  <c r="N15" i="41"/>
  <c r="O15" i="41"/>
  <c r="P15" i="41"/>
  <c r="Q15" i="41"/>
  <c r="R15" i="41"/>
  <c r="S15" i="41"/>
  <c r="T15" i="41"/>
  <c r="U15" i="41"/>
  <c r="V15" i="41"/>
  <c r="W15" i="41"/>
  <c r="X15" i="41"/>
  <c r="Y15" i="41"/>
  <c r="Z15" i="41"/>
  <c r="AA15" i="41"/>
  <c r="AB15" i="41"/>
  <c r="AC15" i="41"/>
  <c r="E17" i="41"/>
  <c r="F17" i="41"/>
  <c r="G17" i="41"/>
  <c r="H17" i="41"/>
  <c r="I17" i="41"/>
  <c r="J17" i="41"/>
  <c r="K17" i="41"/>
  <c r="L17" i="41"/>
  <c r="M17" i="41"/>
  <c r="N17" i="41"/>
  <c r="O17" i="41"/>
  <c r="P17" i="41"/>
  <c r="Q17" i="41"/>
  <c r="R17" i="41"/>
  <c r="S17" i="41"/>
  <c r="T17" i="41"/>
  <c r="U17" i="41"/>
  <c r="V17" i="41"/>
  <c r="W17" i="41"/>
  <c r="X17" i="41"/>
  <c r="Y17" i="41"/>
  <c r="Z17" i="41"/>
  <c r="AA17" i="41"/>
  <c r="AB17" i="41"/>
  <c r="AC17" i="41"/>
  <c r="E20" i="41"/>
  <c r="F20" i="41"/>
  <c r="G20" i="41"/>
  <c r="H20" i="41"/>
  <c r="I20" i="41"/>
  <c r="J20" i="41"/>
  <c r="K20" i="41"/>
  <c r="L20" i="41"/>
  <c r="M20" i="41"/>
  <c r="N20" i="41"/>
  <c r="O20" i="41"/>
  <c r="P20" i="41"/>
  <c r="Q20" i="41"/>
  <c r="R20" i="41"/>
  <c r="S20" i="41"/>
  <c r="T20" i="41"/>
  <c r="U20" i="41"/>
  <c r="V20" i="41"/>
  <c r="W20" i="41"/>
  <c r="X20" i="41"/>
  <c r="Y20" i="41"/>
  <c r="Z20" i="41"/>
  <c r="AA20" i="41"/>
  <c r="AB20" i="41"/>
  <c r="AC20" i="41"/>
  <c r="K21" i="41"/>
  <c r="L21" i="41"/>
  <c r="M21" i="41"/>
  <c r="N21" i="41"/>
  <c r="O21" i="41"/>
  <c r="P21" i="41"/>
  <c r="Q21" i="41"/>
  <c r="R21" i="41"/>
  <c r="S21" i="41"/>
  <c r="T21" i="41"/>
  <c r="U21" i="41"/>
  <c r="V21" i="41"/>
  <c r="W21" i="41"/>
  <c r="X21" i="41"/>
  <c r="Y21" i="41"/>
  <c r="Z21" i="41"/>
  <c r="AA21" i="41"/>
  <c r="AB21" i="41"/>
  <c r="AC21" i="41"/>
  <c r="E22" i="41"/>
  <c r="F22" i="41"/>
  <c r="G22" i="41"/>
  <c r="H22" i="41"/>
  <c r="I22" i="41"/>
  <c r="J22" i="41"/>
  <c r="K22" i="41"/>
  <c r="L22" i="41"/>
  <c r="M22" i="41"/>
  <c r="N22" i="41"/>
  <c r="O22" i="41"/>
  <c r="P22" i="41"/>
  <c r="Q22" i="41"/>
  <c r="R22" i="41"/>
  <c r="S22" i="41"/>
  <c r="T22" i="41"/>
  <c r="U22" i="41"/>
  <c r="V22" i="41"/>
  <c r="W22" i="41"/>
  <c r="X22" i="41"/>
  <c r="Y22" i="41"/>
  <c r="Z22" i="41"/>
  <c r="AA22" i="41"/>
  <c r="AB22" i="41"/>
  <c r="AC22" i="41"/>
  <c r="E23" i="41"/>
  <c r="F23" i="41"/>
  <c r="G23" i="41"/>
  <c r="H23" i="41"/>
  <c r="I23" i="41"/>
  <c r="J23" i="41"/>
  <c r="K23" i="41"/>
  <c r="L23" i="41"/>
  <c r="M23" i="41"/>
  <c r="N23" i="41"/>
  <c r="O23" i="41"/>
  <c r="P23" i="41"/>
  <c r="Q23" i="41"/>
  <c r="R23" i="41"/>
  <c r="S23" i="41"/>
  <c r="T23" i="41"/>
  <c r="U23" i="41"/>
  <c r="V23" i="41"/>
  <c r="W23" i="41"/>
  <c r="X23" i="41"/>
  <c r="Y23" i="41"/>
  <c r="Z23" i="41"/>
  <c r="AA23" i="41"/>
  <c r="AB23" i="41"/>
  <c r="AC23" i="41"/>
  <c r="E24" i="41"/>
  <c r="F24" i="41"/>
  <c r="G24" i="41"/>
  <c r="H24" i="41"/>
  <c r="I24" i="41"/>
  <c r="J24" i="41"/>
  <c r="K24" i="41"/>
  <c r="L24" i="41"/>
  <c r="M24" i="41"/>
  <c r="N24" i="41"/>
  <c r="O24" i="41"/>
  <c r="P24" i="41"/>
  <c r="Q24" i="41"/>
  <c r="R24" i="41"/>
  <c r="S24" i="41"/>
  <c r="T24" i="41"/>
  <c r="U24" i="41"/>
  <c r="V24" i="41"/>
  <c r="W24" i="41"/>
  <c r="X24" i="41"/>
  <c r="Y24" i="41"/>
  <c r="Z24" i="41"/>
  <c r="AA24" i="41"/>
  <c r="AB24" i="41"/>
  <c r="AC24" i="41"/>
  <c r="E25" i="41"/>
  <c r="F25" i="41"/>
  <c r="G25" i="41"/>
  <c r="H25" i="41"/>
  <c r="I25" i="41"/>
  <c r="J25" i="41"/>
  <c r="K25" i="41"/>
  <c r="L25" i="41"/>
  <c r="M25" i="41"/>
  <c r="N25" i="41"/>
  <c r="O25" i="41"/>
  <c r="P25" i="41"/>
  <c r="Q25" i="41"/>
  <c r="R25" i="41"/>
  <c r="S25" i="41"/>
  <c r="T25" i="41"/>
  <c r="U25" i="41"/>
  <c r="V25" i="41"/>
  <c r="W25" i="41"/>
  <c r="X25" i="41"/>
  <c r="Y25" i="41"/>
  <c r="Z25" i="41"/>
  <c r="AA25" i="41"/>
  <c r="AB25" i="41"/>
  <c r="AC25" i="41"/>
  <c r="F29" i="41"/>
  <c r="G29" i="41"/>
  <c r="H29" i="41"/>
  <c r="I29" i="41"/>
  <c r="J29" i="41"/>
  <c r="K29" i="41"/>
  <c r="L29" i="41"/>
  <c r="M29" i="41"/>
  <c r="N29" i="41"/>
  <c r="O29" i="41"/>
  <c r="P29" i="41"/>
  <c r="Q29" i="41"/>
  <c r="R29" i="41"/>
  <c r="S29" i="41"/>
  <c r="T29" i="41"/>
  <c r="U29" i="41"/>
  <c r="V29" i="41"/>
  <c r="W29" i="41"/>
  <c r="X29" i="41"/>
  <c r="Y29" i="41"/>
  <c r="Z29" i="41"/>
  <c r="AA29" i="41"/>
  <c r="AB29" i="41"/>
  <c r="AC29" i="41"/>
  <c r="E30" i="41"/>
  <c r="F30" i="41"/>
  <c r="G30" i="41"/>
  <c r="H30" i="41"/>
  <c r="I30" i="41"/>
  <c r="J30" i="41"/>
  <c r="K30" i="41"/>
  <c r="L30" i="41"/>
  <c r="M30" i="41"/>
  <c r="N30" i="41"/>
  <c r="O30" i="41"/>
  <c r="P30" i="41"/>
  <c r="Q30" i="41"/>
  <c r="R30" i="41"/>
  <c r="S30" i="41"/>
  <c r="T30" i="41"/>
  <c r="U30" i="41"/>
  <c r="V30" i="41"/>
  <c r="W30" i="41"/>
  <c r="X30" i="41"/>
  <c r="Y30" i="41"/>
  <c r="Z30" i="41"/>
  <c r="AA30" i="41"/>
  <c r="AB30" i="41"/>
  <c r="AC30" i="41"/>
  <c r="E31" i="41"/>
  <c r="F31" i="41"/>
  <c r="G31" i="41"/>
  <c r="H31" i="41"/>
  <c r="I31" i="41"/>
  <c r="J31" i="41"/>
  <c r="K31" i="41"/>
  <c r="L31" i="41"/>
  <c r="M31" i="41"/>
  <c r="N31" i="41"/>
  <c r="O31" i="41"/>
  <c r="P31" i="41"/>
  <c r="Q31" i="41"/>
  <c r="R31" i="41"/>
  <c r="S31" i="41"/>
  <c r="T31" i="41"/>
  <c r="U31" i="41"/>
  <c r="V31" i="41"/>
  <c r="W31" i="41"/>
  <c r="X31" i="41"/>
  <c r="Y31" i="41"/>
  <c r="Z31" i="41"/>
  <c r="AA31" i="41"/>
  <c r="AB31" i="41"/>
  <c r="AC31" i="41"/>
  <c r="E32" i="41"/>
  <c r="F32" i="41"/>
  <c r="G32" i="41"/>
  <c r="H32" i="41"/>
  <c r="I32" i="41"/>
  <c r="J32" i="41"/>
  <c r="K32" i="41"/>
  <c r="L32" i="41"/>
  <c r="M32" i="41"/>
  <c r="N32" i="41"/>
  <c r="O32" i="41"/>
  <c r="P32" i="41"/>
  <c r="Q32" i="41"/>
  <c r="R32" i="41"/>
  <c r="S32" i="41"/>
  <c r="T32" i="41"/>
  <c r="U32" i="41"/>
  <c r="V32" i="41"/>
  <c r="W32" i="41"/>
  <c r="X32" i="41"/>
  <c r="Y32" i="41"/>
  <c r="Z32" i="41"/>
  <c r="AA32" i="41"/>
  <c r="AB32" i="41"/>
  <c r="AC32" i="41"/>
  <c r="E33" i="41"/>
  <c r="F33" i="41"/>
  <c r="G33" i="41"/>
  <c r="H33" i="41"/>
  <c r="I33" i="41"/>
  <c r="J33" i="41"/>
  <c r="K33" i="41"/>
  <c r="L33" i="41"/>
  <c r="M33" i="41"/>
  <c r="N33" i="41"/>
  <c r="O33" i="41"/>
  <c r="P33" i="41"/>
  <c r="Q33" i="41"/>
  <c r="R33" i="41"/>
  <c r="S33" i="41"/>
  <c r="T33" i="41"/>
  <c r="U33" i="41"/>
  <c r="V33" i="41"/>
  <c r="W33" i="41"/>
  <c r="X33" i="41"/>
  <c r="Y33" i="41"/>
  <c r="Z33" i="41"/>
  <c r="AA33" i="41"/>
  <c r="AB33" i="41"/>
  <c r="AC33" i="41"/>
  <c r="E4" i="43"/>
  <c r="F4" i="43"/>
  <c r="G4" i="43"/>
  <c r="H4" i="43"/>
  <c r="I4" i="43"/>
  <c r="E7" i="43"/>
  <c r="F7" i="43"/>
  <c r="G7" i="43"/>
  <c r="H7" i="43"/>
  <c r="I7" i="43"/>
  <c r="E8" i="43"/>
  <c r="F8" i="43"/>
  <c r="G8" i="43"/>
  <c r="H8" i="43"/>
  <c r="I8" i="43"/>
  <c r="E9" i="43"/>
  <c r="F9" i="43"/>
  <c r="G9" i="43"/>
  <c r="H9" i="43"/>
  <c r="I9" i="43"/>
  <c r="E10" i="43"/>
  <c r="F10" i="43"/>
  <c r="G10" i="43"/>
  <c r="H10" i="43"/>
  <c r="I10" i="43"/>
  <c r="E20" i="43"/>
  <c r="F20" i="43"/>
  <c r="G20" i="43"/>
  <c r="H20" i="43"/>
  <c r="I20" i="43"/>
  <c r="E21" i="43"/>
  <c r="F21" i="43"/>
  <c r="G21" i="43"/>
  <c r="H21" i="43"/>
  <c r="I21" i="43"/>
  <c r="E24" i="43"/>
  <c r="F24" i="43"/>
  <c r="G24" i="43"/>
  <c r="H24" i="43"/>
  <c r="I24" i="43"/>
  <c r="F25" i="43"/>
  <c r="G25" i="43"/>
  <c r="H25" i="43"/>
  <c r="I25" i="43"/>
  <c r="E26" i="43"/>
  <c r="F26" i="43"/>
  <c r="G26" i="43"/>
  <c r="H26" i="43"/>
  <c r="I26" i="43"/>
  <c r="E27" i="43"/>
  <c r="F27" i="43"/>
  <c r="G27" i="43"/>
  <c r="H27" i="43"/>
  <c r="I27" i="43"/>
  <c r="E28" i="43"/>
  <c r="F28" i="43"/>
  <c r="G28" i="43"/>
  <c r="H28" i="43"/>
  <c r="I28" i="43"/>
  <c r="E29" i="43"/>
  <c r="F29" i="43"/>
  <c r="G29" i="43"/>
  <c r="H29" i="43"/>
  <c r="I29" i="43"/>
  <c r="E30" i="43"/>
  <c r="F30" i="43"/>
  <c r="E31" i="43"/>
  <c r="F31" i="43"/>
  <c r="G31" i="43"/>
  <c r="H31" i="43"/>
  <c r="I31" i="43"/>
  <c r="E32" i="43"/>
  <c r="F32" i="43"/>
  <c r="G32" i="43"/>
  <c r="H32" i="43"/>
  <c r="I32" i="43"/>
  <c r="E33" i="43"/>
  <c r="F33" i="43"/>
  <c r="G33" i="43"/>
  <c r="H33" i="43"/>
  <c r="I33" i="43"/>
  <c r="E34" i="43"/>
  <c r="F34" i="43"/>
  <c r="G34" i="43"/>
  <c r="H34" i="43"/>
  <c r="I34" i="43"/>
  <c r="E39" i="43"/>
  <c r="F39" i="43"/>
  <c r="G39" i="43"/>
  <c r="H39" i="43"/>
  <c r="I39" i="43"/>
  <c r="E40" i="43"/>
  <c r="F40" i="43"/>
  <c r="G40" i="43"/>
  <c r="H40" i="43"/>
  <c r="I40" i="43"/>
  <c r="E41" i="43"/>
  <c r="F41" i="43"/>
  <c r="G41" i="43"/>
  <c r="H41" i="43"/>
  <c r="I41" i="43"/>
  <c r="F47" i="43"/>
  <c r="G47" i="43"/>
  <c r="H47" i="43"/>
  <c r="I47" i="43"/>
  <c r="E48" i="43"/>
  <c r="F48" i="43"/>
  <c r="G48" i="43"/>
  <c r="H48" i="43"/>
  <c r="I48" i="43"/>
  <c r="E49" i="43"/>
  <c r="F49" i="43"/>
  <c r="G49" i="43"/>
  <c r="H49" i="43"/>
  <c r="I49" i="43"/>
  <c r="E50" i="43"/>
  <c r="F50" i="43"/>
  <c r="G50" i="43"/>
  <c r="H50" i="43"/>
  <c r="I50" i="43"/>
  <c r="E51" i="43"/>
  <c r="F51" i="43"/>
  <c r="G51" i="43"/>
  <c r="H51" i="43"/>
  <c r="I51" i="43"/>
  <c r="E52" i="43"/>
  <c r="F52" i="43"/>
  <c r="G52" i="43"/>
  <c r="H52" i="43"/>
  <c r="I52" i="43"/>
  <c r="E53" i="43"/>
  <c r="F53" i="43"/>
  <c r="G53" i="43"/>
  <c r="H53" i="43"/>
  <c r="I53" i="43"/>
  <c r="E8" i="51"/>
  <c r="G8" i="51"/>
  <c r="H8" i="51"/>
  <c r="M8" i="51"/>
  <c r="O8" i="51"/>
  <c r="P8" i="51"/>
  <c r="Q8" i="51"/>
  <c r="R8" i="51"/>
  <c r="S8" i="51"/>
  <c r="T8" i="51"/>
  <c r="E9" i="51"/>
  <c r="G9" i="51"/>
  <c r="H9" i="51"/>
  <c r="O9" i="51"/>
  <c r="P9" i="51"/>
  <c r="Q9" i="51"/>
  <c r="R9" i="51"/>
  <c r="S9" i="51"/>
  <c r="T9" i="51"/>
  <c r="E10" i="51"/>
  <c r="G10" i="51"/>
  <c r="H10" i="51"/>
  <c r="O10" i="51"/>
  <c r="P10" i="51"/>
  <c r="Q10" i="51"/>
  <c r="R10" i="51"/>
  <c r="S10" i="51"/>
  <c r="T10" i="51"/>
  <c r="E11" i="51"/>
  <c r="H11" i="51"/>
  <c r="P11" i="51"/>
  <c r="Q11" i="51"/>
  <c r="E13" i="51"/>
  <c r="G13" i="51"/>
  <c r="H13" i="51"/>
  <c r="M13" i="51"/>
  <c r="O13" i="51"/>
  <c r="P13" i="51"/>
  <c r="Q13" i="51"/>
  <c r="R13" i="51"/>
  <c r="T13" i="51"/>
  <c r="O14" i="51"/>
  <c r="Q14" i="51"/>
  <c r="S14" i="51"/>
  <c r="T14" i="51"/>
  <c r="R15" i="51"/>
  <c r="S15" i="51"/>
  <c r="T15" i="51"/>
  <c r="E16" i="51"/>
  <c r="G16" i="51"/>
  <c r="H16" i="51"/>
  <c r="O16" i="51"/>
  <c r="P16" i="51"/>
  <c r="Q16" i="51"/>
  <c r="R16" i="51"/>
  <c r="S16" i="51"/>
  <c r="T16" i="51"/>
  <c r="E17" i="51"/>
  <c r="G17" i="51"/>
  <c r="H17" i="51"/>
  <c r="O17" i="51"/>
  <c r="P17" i="51"/>
  <c r="Q17" i="51"/>
  <c r="R17" i="51"/>
  <c r="S17" i="51"/>
  <c r="T17" i="51"/>
  <c r="E18" i="51"/>
  <c r="G18" i="51"/>
  <c r="H18" i="51"/>
  <c r="O18" i="51"/>
  <c r="P18" i="51"/>
  <c r="Q18" i="51"/>
  <c r="R18" i="51"/>
  <c r="S18" i="51"/>
  <c r="T18" i="51"/>
  <c r="E19" i="51"/>
  <c r="G19" i="51"/>
  <c r="H19" i="51"/>
  <c r="M19" i="51"/>
  <c r="O19" i="51"/>
  <c r="P19" i="51"/>
  <c r="Q19" i="51"/>
  <c r="R19" i="51"/>
  <c r="S19" i="51"/>
  <c r="T19" i="51"/>
  <c r="E20" i="51"/>
  <c r="G20" i="51"/>
  <c r="H20" i="51"/>
  <c r="O20" i="51"/>
  <c r="P20" i="51"/>
  <c r="Q20" i="51"/>
  <c r="R20" i="51"/>
  <c r="S20" i="51"/>
  <c r="T20" i="51"/>
</calcChain>
</file>

<file path=xl/sharedStrings.xml><?xml version="1.0" encoding="utf-8"?>
<sst xmlns="http://schemas.openxmlformats.org/spreadsheetml/2006/main" count="1074" uniqueCount="524">
  <si>
    <t>2016-17</t>
  </si>
  <si>
    <t>2017-18</t>
  </si>
  <si>
    <t>2018-19</t>
  </si>
  <si>
    <t>2019-20</t>
  </si>
  <si>
    <t>2020-21</t>
  </si>
  <si>
    <t>MAT rate</t>
  </si>
  <si>
    <t>2014-15</t>
  </si>
  <si>
    <t>2015-16</t>
  </si>
  <si>
    <t>Yes</t>
  </si>
  <si>
    <t>Particulars</t>
  </si>
  <si>
    <t>FY 18-19</t>
  </si>
  <si>
    <t>FY 16-17</t>
  </si>
  <si>
    <t>FY 17-18</t>
  </si>
  <si>
    <t>Scenario-1 
(Actual; Book profit increased due to transition amount as referred to in section 115JB (2C)</t>
  </si>
  <si>
    <t>Scenario-2
(Had there been no increase in the book profit due to transition amount as referred to in section 115JB (2C)</t>
  </si>
  <si>
    <t>FY 19-20</t>
  </si>
  <si>
    <t>FY 20-21</t>
  </si>
  <si>
    <t>FY 21-22</t>
  </si>
  <si>
    <t>Computation of Minimum Alternate Tax payable under section 115JB</t>
  </si>
  <si>
    <t>Additions (if debited in profit and loss account)</t>
  </si>
  <si>
    <t>Deductions</t>
  </si>
  <si>
    <t>Income-tax paid or payable or its provision including the amount of deferred tax and the provision thereof</t>
  </si>
  <si>
    <t>Reserve (except reserve under section 33AC)</t>
  </si>
  <si>
    <t>Provisions for unascertained liability</t>
  </si>
  <si>
    <t>Provisions for losses of subsidiary companies</t>
  </si>
  <si>
    <t>Dividend paid or proposed</t>
  </si>
  <si>
    <t>Expenditure related to exempt income under sections 10, 11 or 12 [exempt income excludes income exempt under section 10(38)]</t>
  </si>
  <si>
    <t>Expenditure related to share in income of AOP/ BOI on which no income-tax is payable as per section 86</t>
  </si>
  <si>
    <t>Expenditure in case of foreign company referred to in clause (fb) of explanation 1 to section 115JB</t>
  </si>
  <si>
    <t>Notional loss on transfer of certain capital assets or units referred to in clause (fc) of explanation 1 to section 115JB</t>
  </si>
  <si>
    <t>Expenditure relatable to income by way of royalty in respect of patent chargeable to tax u/ s 115BBF</t>
  </si>
  <si>
    <t>Depreciation attributable to revaluation of assets</t>
  </si>
  <si>
    <t>Gain on transfer of units referred to in clause (k) of explanation 1 to section 115JB</t>
  </si>
  <si>
    <t>Amount withdrawn from reserve or provisions if credited to Profit and Loss account</t>
  </si>
  <si>
    <t>Income exempt under sections 10, 11 or 12 [exempt income excludes income exempt under section 10(38)]</t>
  </si>
  <si>
    <t>Amount withdrawn from revaluation reserve and credited to profit and loss account to the extent it does not exceed the amount of depreciation attributable to revaluation of asset</t>
  </si>
  <si>
    <t>Share in income of AOP/ BOI on which no income-tax is payable as per section 86 credited to Profit and Loss account</t>
  </si>
  <si>
    <t>Income in case of foreign company referred to in clause (iid) of explanation 1 to section 115JB</t>
  </si>
  <si>
    <t>Notional gain on transfer of certain capital assets or units referred to in clause (iie) of explanation 1 to section 115JB</t>
  </si>
  <si>
    <t>Loss on transfer of units referred to in clause (iif) of explanation 1 to section 115JB</t>
  </si>
  <si>
    <t>Income by way of royalty referred to in clause (iig) of explanation 1 to section 115JB</t>
  </si>
  <si>
    <t>Loss brought forward or unabsorbed depreciation whichever is less</t>
  </si>
  <si>
    <t>Profit of sick industrial company till net worth is equal to or exceeds accumulated losses</t>
  </si>
  <si>
    <t>Others (including residual unadjusted items and the amount of deferred tax credited to P&amp;L A/c)</t>
  </si>
  <si>
    <t>a</t>
  </si>
  <si>
    <t>m</t>
  </si>
  <si>
    <t>e</t>
  </si>
  <si>
    <t>f</t>
  </si>
  <si>
    <t>k</t>
  </si>
  <si>
    <t>d</t>
  </si>
  <si>
    <t>n</t>
  </si>
  <si>
    <t>h</t>
  </si>
  <si>
    <t>b</t>
  </si>
  <si>
    <t>c</t>
  </si>
  <si>
    <t>g</t>
  </si>
  <si>
    <t>i</t>
  </si>
  <si>
    <t>j</t>
  </si>
  <si>
    <t>l</t>
  </si>
  <si>
    <t>Schedule MAT</t>
  </si>
  <si>
    <t>Profit after tax as shown in the Profit and Loss Account (item 48 of Part A-P&amp;L)</t>
  </si>
  <si>
    <t>Whether the financial statements of the company are drawn up in compliance to the Indian
Accounting Standards (Ind-AS) specified in Annexure to the companies (Indian Accounting
Standards) Rules, 2015. If yes, furnish the details below:-</t>
  </si>
  <si>
    <t>A. Additions to book profit under sub-sections (2A) to (2C) of section 115JB</t>
  </si>
  <si>
    <t>a. Amounts credited to other comprehensive income in statement of profit &amp; loss under the
head “items that will not be reclassified to profit &amp; loss”</t>
  </si>
  <si>
    <t>b. Amounts debited to the statement of profit &amp; loss on distribution of non-cash assets to
shareholders in a demerger</t>
  </si>
  <si>
    <t xml:space="preserve">c. One fifth of the transition amount as referred to in section 115JB (2C) (if applicable) </t>
  </si>
  <si>
    <t>d. Others (including residual adjustment)</t>
  </si>
  <si>
    <t>B. Deductions from book profit under sub-sections (2A) to (2C) of section 115JB</t>
  </si>
  <si>
    <t>f. Amounts debited to other comprehensive income in statement of profit &amp; loss under the head “items that will not be reclassified to profit &amp; loss”</t>
  </si>
  <si>
    <t>g. Amounts credited to the statement of profit &amp; loss on distribution of non-cash assets to shareholders in a demerger</t>
  </si>
  <si>
    <t>h. One fifth of the transition amount as referred to in section 115JB (2C) (if applicable)</t>
  </si>
  <si>
    <t>i. Others (including residual adjustment)</t>
  </si>
  <si>
    <t>Tax payable under section 115JB</t>
  </si>
  <si>
    <t>Whether the Profit and Loss Account is prepared in accordance with the provisions of Parts II of Schedule III to the Companies Act, 2013</t>
  </si>
  <si>
    <t>Whether, for the Profit and Loss Account referred to in item 1 above, the same accounting policies, accounting standards and same method and rates for calculating depreciation have been followed as have been adopted for preparing accounts laid before the company at its annual general body meeting? (If yes, write ‘Y’, if no write ‘N’)</t>
  </si>
  <si>
    <t>Total additions  (5a+5b+5c+5d+5e+5f+5g+5h+5i+5j+5k+5l+5m)</t>
  </si>
  <si>
    <t>Total deductions (6a+6b+6c+6d+6e+6f+6g+6h+6i+6j+6k)</t>
  </si>
  <si>
    <t>Book profit under section 115JB  (4+ 5n – 6l)</t>
  </si>
  <si>
    <t xml:space="preserve">e. Total additions (8a + 8b + 8c + 8d) </t>
  </si>
  <si>
    <t>j. Total deductions (8f + 8g + 8h + 8i)</t>
  </si>
  <si>
    <t>Deemed total income under section 115JB (7 + 8e – 8j)</t>
  </si>
  <si>
    <t>If 1 is no, whether profit and loss account is prepared in accordance with the provisions of the Act governing such company (If yes, write ‘Y’, if no write ‘N’)</t>
  </si>
  <si>
    <t>Others (including residual unadjusted items and provision for diminution in the value of any asset)***</t>
  </si>
  <si>
    <t>(In FY 2016-17, "One fifth of the transition amount as referred to in section 115JB (2C)" was shown under 5-m above)</t>
  </si>
  <si>
    <t>FY 15-16</t>
  </si>
  <si>
    <t>FY 2014-15</t>
  </si>
  <si>
    <t>Not applicable</t>
  </si>
  <si>
    <t>5a</t>
  </si>
  <si>
    <t>5b</t>
  </si>
  <si>
    <t>5c</t>
  </si>
  <si>
    <t>5d</t>
  </si>
  <si>
    <t>5e</t>
  </si>
  <si>
    <t>5f</t>
  </si>
  <si>
    <t>5g</t>
  </si>
  <si>
    <t>5h</t>
  </si>
  <si>
    <t>5i</t>
  </si>
  <si>
    <t>5j</t>
  </si>
  <si>
    <t>5k</t>
  </si>
  <si>
    <t>5l</t>
  </si>
  <si>
    <t>5m</t>
  </si>
  <si>
    <t>6a</t>
  </si>
  <si>
    <t>6b</t>
  </si>
  <si>
    <t>6c</t>
  </si>
  <si>
    <t>6d</t>
  </si>
  <si>
    <t>6e</t>
  </si>
  <si>
    <t>6f</t>
  </si>
  <si>
    <t>6g</t>
  </si>
  <si>
    <t>6h</t>
  </si>
  <si>
    <t>6i</t>
  </si>
  <si>
    <t>6j</t>
  </si>
  <si>
    <t>6k</t>
  </si>
  <si>
    <t>5n</t>
  </si>
  <si>
    <t>6l</t>
  </si>
  <si>
    <t>8a</t>
  </si>
  <si>
    <t>8b</t>
  </si>
  <si>
    <t>8c</t>
  </si>
  <si>
    <t>8d</t>
  </si>
  <si>
    <t>8e</t>
  </si>
  <si>
    <t>8f</t>
  </si>
  <si>
    <t>8g</t>
  </si>
  <si>
    <t>8h</t>
  </si>
  <si>
    <t>8i</t>
  </si>
  <si>
    <t>8j</t>
  </si>
  <si>
    <r>
      <t xml:space="preserve">Book profit/ Deemed total income under section 115JB </t>
    </r>
    <r>
      <rPr>
        <sz val="11"/>
        <color theme="1"/>
        <rFont val="Calibri"/>
        <family val="2"/>
        <scheme val="minor"/>
      </rPr>
      <t>(without transition amount)-------7</t>
    </r>
  </si>
  <si>
    <t>Tax under section 115JB (without transition amount)------------------------------------------12x10</t>
  </si>
  <si>
    <t>Additional tax amount paid due to transition amount-----------------------------------------(10-11)</t>
  </si>
  <si>
    <t>Sr. No. as per ITR</t>
  </si>
  <si>
    <t>Not 
applicable</t>
  </si>
  <si>
    <t>Total additions  (5a+5c+5k)</t>
  </si>
  <si>
    <t>Total deductions</t>
  </si>
  <si>
    <t>***(In FY 2016-17, "One fifth of the transition amount as referred to in section 115JB (2C)" was shown under 5-m above)</t>
  </si>
  <si>
    <t>Whether the financial statements of the company are drawn up in compliance to the Indian Accounting Standards (Ind-AS) specified in Annexure to the companies (Indian Accounting Standards) Rules, 2015. If yes, furnish the details below:-</t>
  </si>
  <si>
    <t xml:space="preserve">e. Total additions (8a+ 8c) </t>
  </si>
  <si>
    <t>j. Total deductions (8f+8h)</t>
  </si>
  <si>
    <t>Sr. No.</t>
  </si>
  <si>
    <t>2021-22</t>
  </si>
  <si>
    <t>A</t>
  </si>
  <si>
    <t>Applicable MAT rates for the respective years</t>
  </si>
  <si>
    <t>Interest Paid to the Income Tax department</t>
  </si>
  <si>
    <t>Interest Paid on additional tax demand</t>
  </si>
  <si>
    <t>Details about appeal filed with regard to interest payments on additional tax demand, as specified above</t>
  </si>
  <si>
    <t>(Amounts in Cr)</t>
  </si>
  <si>
    <t>(Amount-INR)</t>
  </si>
  <si>
    <t>Surcharge</t>
  </si>
  <si>
    <t>Expenses incurred t/w PMC</t>
  </si>
  <si>
    <t>Note-28</t>
  </si>
  <si>
    <t>Total Expenses</t>
  </si>
  <si>
    <t>Rent</t>
  </si>
  <si>
    <t>Miscellaneous Income</t>
  </si>
  <si>
    <t>Excess provision w/back</t>
  </si>
  <si>
    <t>Other non operative incomes</t>
  </si>
  <si>
    <t>Net gain on sale of MF</t>
  </si>
  <si>
    <t>gain on FV of MF investments</t>
  </si>
  <si>
    <t>Interest on intercorporate deposits</t>
  </si>
  <si>
    <t>Other Interest</t>
  </si>
  <si>
    <t>Interest on Income tax refund</t>
  </si>
  <si>
    <t>Unrealised gains on investments</t>
  </si>
  <si>
    <t>Interest on bank deposits</t>
  </si>
  <si>
    <t>Other Income</t>
  </si>
  <si>
    <t>Consultancy, PM and supervision fee</t>
  </si>
  <si>
    <t>Less: cash discount</t>
  </si>
  <si>
    <t>Incentives on TSC</t>
  </si>
  <si>
    <t>2022-23</t>
  </si>
  <si>
    <t>Way leave charges income</t>
  </si>
  <si>
    <t>PBT from Transmission business</t>
  </si>
  <si>
    <t>Sale of services/Revenue from Ops</t>
  </si>
  <si>
    <t>Transmission service chrges/ Income from SCA</t>
  </si>
  <si>
    <t>Tax paid on Other Income</t>
  </si>
  <si>
    <t>ii</t>
  </si>
  <si>
    <t>iii</t>
  </si>
  <si>
    <t>iv</t>
  </si>
  <si>
    <t>Section 234 (A)</t>
  </si>
  <si>
    <t>Section 234 (B)</t>
  </si>
  <si>
    <t>Section 234 (c )</t>
  </si>
  <si>
    <t>Appeal filed and allowed in favour of Petitioner</t>
  </si>
  <si>
    <t>Appeal filed and disallowed</t>
  </si>
  <si>
    <t>Appeal is pending</t>
  </si>
  <si>
    <t>Interest on additional tax demand for which appeal not filed</t>
  </si>
  <si>
    <t>Total Interest paid other than interest on additional demand</t>
  </si>
  <si>
    <t>(3ii-4iv)/2ii</t>
  </si>
  <si>
    <t>Pre-tax return on equity as allowed by the Commission</t>
  </si>
  <si>
    <t>(5/1-4i)</t>
  </si>
  <si>
    <t>Additional Income Assessed for Additional Tax Demand*</t>
  </si>
  <si>
    <t>Total Assessed Income including Additional Demand</t>
  </si>
  <si>
    <t>Total Tax Paid including Interest</t>
  </si>
  <si>
    <t>Tax paid on Tariff Income including interest on Additional Demand</t>
  </si>
  <si>
    <t>Tax paid on Transmission Business income</t>
  </si>
  <si>
    <t>B</t>
  </si>
  <si>
    <t>Post Tax Return Allowed in Tariff Order dated 02.11.2021</t>
  </si>
  <si>
    <t>Pre-tax return on equity required after grossing up</t>
  </si>
  <si>
    <t>Shortfall in Pre-tax return on equity</t>
  </si>
  <si>
    <t>E</t>
  </si>
  <si>
    <t>Total Sale of services (SumA1:A5)</t>
  </si>
  <si>
    <t>Total Other Income (SumB1:11)</t>
  </si>
  <si>
    <t>C</t>
  </si>
  <si>
    <t>Expnses related to other income</t>
  </si>
  <si>
    <t>PBT from Other Businesses
(Non tariff income) (B-C1)</t>
  </si>
  <si>
    <t>Total Income (A+B)</t>
  </si>
  <si>
    <t>D</t>
  </si>
  <si>
    <t>F</t>
  </si>
  <si>
    <t>Profit before tax (D-E)</t>
  </si>
  <si>
    <t>(A-Ai)</t>
  </si>
  <si>
    <t>(2-4i)</t>
  </si>
  <si>
    <t>(4ix1)</t>
  </si>
  <si>
    <t>(5-5i)</t>
  </si>
  <si>
    <t xml:space="preserve">Other expenses </t>
  </si>
  <si>
    <t xml:space="preserve">(Interest Paid other than interest on additional tax demand) </t>
  </si>
  <si>
    <t>Table at para 9.53, P.No. 59</t>
  </si>
  <si>
    <t xml:space="preserve">                                                                                                  (amounts in lakh)</t>
  </si>
  <si>
    <t>Tax Paid by the Petitioner on above Total Income</t>
  </si>
  <si>
    <t>Working after 20.9.23</t>
  </si>
  <si>
    <t>ROE as per Order based on which billing done</t>
  </si>
  <si>
    <t>tax on (DTI-PBT)</t>
  </si>
  <si>
    <t>GrUp(tax on (DTI-PBT))</t>
  </si>
  <si>
    <t>tax on GrUp RoE</t>
  </si>
  <si>
    <t>GrUp ROE</t>
  </si>
  <si>
    <t>Amount required with break up</t>
  </si>
  <si>
    <t>Proposed ETR</t>
  </si>
  <si>
    <t>Total amount required</t>
  </si>
  <si>
    <t>Pre tax ROE grossed up with proposed ETR</t>
  </si>
  <si>
    <t>Tax on GrUp RoE</t>
  </si>
  <si>
    <t>Proposed ETR- Formula:4</t>
  </si>
  <si>
    <t>Proposed ETR- Formula:3</t>
  </si>
  <si>
    <t>Proposed ETR- Formula:2</t>
  </si>
  <si>
    <t>PBT-Transmission income other than ROE-ROE</t>
  </si>
  <si>
    <t>Proposed ETR- Formula:1</t>
  </si>
  <si>
    <t>Post Tax RoE</t>
  </si>
  <si>
    <t>DTI-PBT</t>
  </si>
  <si>
    <t>Non core Income as per P&amp;L (non-core)</t>
  </si>
  <si>
    <t>PBT from Core Business</t>
  </si>
  <si>
    <t>Income other than ROE included in core income</t>
  </si>
  <si>
    <t>PBT from Core Business (for tax pass through)</t>
  </si>
  <si>
    <t>Book profit/ Deemed Total Income u/s 115JB as per ITR</t>
  </si>
  <si>
    <t>Income from Core Business</t>
  </si>
  <si>
    <t>MAT Credit earned</t>
  </si>
  <si>
    <t>Applicable tax rate</t>
  </si>
  <si>
    <t>Effective Tax Rate based on (tax paid plus interest paid on additional tax demand excluding for which appeal filed and allowed in favour of Petitioner) divided by PBT on Transmission Business (ETR as per CERC methodology)</t>
  </si>
  <si>
    <t>ROE grossed up with ETR-CERC</t>
  </si>
  <si>
    <t>Post tax ROE allowed by CERC</t>
  </si>
  <si>
    <t>Shortfall in case of ETR-CERC</t>
  </si>
  <si>
    <t>ROE Grossed up as per Proposed ETR-3</t>
  </si>
  <si>
    <t>Shortfall in case of Proposed ETR-3</t>
  </si>
  <si>
    <t>No</t>
  </si>
  <si>
    <t>Tax payable</t>
  </si>
  <si>
    <t>MAT Credit used</t>
  </si>
  <si>
    <t>PBT as per P&amp;L Account</t>
  </si>
  <si>
    <t>Loss c/f</t>
  </si>
  <si>
    <t>Loss set off</t>
  </si>
  <si>
    <t>Current year loss</t>
  </si>
  <si>
    <t>Loss b/f</t>
  </si>
  <si>
    <t>PBT:(RB+NRB)</t>
  </si>
  <si>
    <t>Combined</t>
  </si>
  <si>
    <t>ETR: NRB</t>
  </si>
  <si>
    <t>Tax paid: NRB</t>
  </si>
  <si>
    <t>Taxable profit: NRB</t>
  </si>
  <si>
    <t>PBT: NRB</t>
  </si>
  <si>
    <t>PBT%:NRB</t>
  </si>
  <si>
    <t>Equity:NRB</t>
  </si>
  <si>
    <t>Non regulated business-standalone</t>
  </si>
  <si>
    <t>ETR: RB</t>
  </si>
  <si>
    <t>Tax paid: RB</t>
  </si>
  <si>
    <t>PBT:RB</t>
  </si>
  <si>
    <t>PBT%:RB (Grossed up)</t>
  </si>
  <si>
    <t>Equity-RB</t>
  </si>
  <si>
    <t>Tax rate</t>
  </si>
  <si>
    <t>Regulated Business-standalone</t>
  </si>
  <si>
    <t>Taxable profit-Combined</t>
  </si>
  <si>
    <t>Tax paid-Combined</t>
  </si>
  <si>
    <t>ETR-Combined</t>
  </si>
  <si>
    <t>80IA applicabilty</t>
  </si>
  <si>
    <t>Tax rate-Normal</t>
  </si>
  <si>
    <t>Tax rate-MAT</t>
  </si>
  <si>
    <t>Tax @ Normal rate</t>
  </si>
  <si>
    <t>Tax @ MAT rate</t>
  </si>
  <si>
    <t>MAT Credit b/f</t>
  </si>
  <si>
    <t>MAT Credit available for the year</t>
  </si>
  <si>
    <t>MAT Credit c/f</t>
  </si>
  <si>
    <t>Tax paid-Combined after MAT credit</t>
  </si>
  <si>
    <t>Tax paid: NRB (After MAT Credit)</t>
  </si>
  <si>
    <t>Tax paid: RB (After MAT Credit)</t>
  </si>
  <si>
    <t>Result</t>
  </si>
  <si>
    <t>ETR: RB (standalone)</t>
  </si>
  <si>
    <t>ETR: NRB (standalone)</t>
  </si>
  <si>
    <t>Calculation of MAT Credit</t>
  </si>
  <si>
    <t>MAT Credit used- RB</t>
  </si>
  <si>
    <t>MAT Credit used- NRB</t>
  </si>
  <si>
    <t>Regulated Business (RB)-standalone</t>
  </si>
  <si>
    <t>Non regulated business (NRB)-standalone</t>
  </si>
  <si>
    <t>1.a</t>
  </si>
  <si>
    <t>1.b</t>
  </si>
  <si>
    <t>1.c</t>
  </si>
  <si>
    <t>1.d</t>
  </si>
  <si>
    <t>1.e</t>
  </si>
  <si>
    <t>2.a</t>
  </si>
  <si>
    <t>2.b</t>
  </si>
  <si>
    <t>2.c</t>
  </si>
  <si>
    <t>2.d</t>
  </si>
  <si>
    <t>2.e</t>
  </si>
  <si>
    <t>2.f</t>
  </si>
  <si>
    <t>2.g</t>
  </si>
  <si>
    <t>2.h</t>
  </si>
  <si>
    <t>2.i</t>
  </si>
  <si>
    <t>2.j</t>
  </si>
  <si>
    <t>3.i</t>
  </si>
  <si>
    <t>3a</t>
  </si>
  <si>
    <t>3b</t>
  </si>
  <si>
    <t>3.a</t>
  </si>
  <si>
    <t>3.b</t>
  </si>
  <si>
    <t>3.c</t>
  </si>
  <si>
    <t>3.d</t>
  </si>
  <si>
    <t>3.e</t>
  </si>
  <si>
    <t>3.f</t>
  </si>
  <si>
    <t>3.g</t>
  </si>
  <si>
    <t>3.h</t>
  </si>
  <si>
    <t>3.j</t>
  </si>
  <si>
    <t>3.k</t>
  </si>
  <si>
    <t>15.5%/(1-A or B)</t>
  </si>
  <si>
    <t>1a*1b</t>
  </si>
  <si>
    <t>4a</t>
  </si>
  <si>
    <t>4b</t>
  </si>
  <si>
    <t>4c</t>
  </si>
  <si>
    <t>4d</t>
  </si>
  <si>
    <t>4e</t>
  </si>
  <si>
    <t>4f</t>
  </si>
  <si>
    <t>4g</t>
  </si>
  <si>
    <t>1c*(A or B)- 4f</t>
  </si>
  <si>
    <t>1d/1c</t>
  </si>
  <si>
    <t>assumption</t>
  </si>
  <si>
    <t>2a*2b</t>
  </si>
  <si>
    <t>2g</t>
  </si>
  <si>
    <t>2c, if2c &lt;0; or 0</t>
  </si>
  <si>
    <t>if 2c&gt;0, min of (-2d,2c); or 0</t>
  </si>
  <si>
    <t>2d+2e+2f</t>
  </si>
  <si>
    <t>if 2c&gt;0, 2d-2f; or 0</t>
  </si>
  <si>
    <t>2h*AorB - 4g</t>
  </si>
  <si>
    <t>2i/2c</t>
  </si>
  <si>
    <t>1c+2c</t>
  </si>
  <si>
    <t>3e</t>
  </si>
  <si>
    <t>if 3a&lt;0,3a or 0</t>
  </si>
  <si>
    <t>if 3a&gt;0, min of (-3b,3a); or 0</t>
  </si>
  <si>
    <t>3b+3c+3d</t>
  </si>
  <si>
    <t>if 3a&gt;0, 3a-3d; or 0</t>
  </si>
  <si>
    <t>if 80IA=No,3f*A, or 0</t>
  </si>
  <si>
    <t>3f*B</t>
  </si>
  <si>
    <t>max(3g, 3h)</t>
  </si>
  <si>
    <t>3i-4d</t>
  </si>
  <si>
    <t>3j/3a</t>
  </si>
  <si>
    <t>if MAT, 3h-3g Or 0</t>
  </si>
  <si>
    <t>4a+4b</t>
  </si>
  <si>
    <t>if Normal,min(4c,3f), Or 0</t>
  </si>
  <si>
    <t>4c-4d</t>
  </si>
  <si>
    <t>4d*1c/3a</t>
  </si>
  <si>
    <t>4d*2h/3a</t>
  </si>
  <si>
    <t>3k</t>
  </si>
  <si>
    <t>2j</t>
  </si>
  <si>
    <t>1e</t>
  </si>
  <si>
    <t>Equity</t>
  </si>
  <si>
    <t>PBT</t>
  </si>
  <si>
    <t>Tax paid after MAT credit</t>
  </si>
  <si>
    <t>ETR (MAT Credit availed)</t>
  </si>
  <si>
    <t>Effective Tax Rate (ETR)- MAT Credit availed</t>
  </si>
  <si>
    <t>2a</t>
  </si>
  <si>
    <t>if 80IA=No,2a*A, or 0</t>
  </si>
  <si>
    <t>2a*B</t>
  </si>
  <si>
    <t>2b</t>
  </si>
  <si>
    <t>2c</t>
  </si>
  <si>
    <t>2d</t>
  </si>
  <si>
    <t>2e</t>
  </si>
  <si>
    <t>2f</t>
  </si>
  <si>
    <t>max(2b, 2c)</t>
  </si>
  <si>
    <t>3c</t>
  </si>
  <si>
    <t>3d</t>
  </si>
  <si>
    <t>2d-3d</t>
  </si>
  <si>
    <t>2e/2a</t>
  </si>
  <si>
    <t>if MAT, 2c-2b Or 0</t>
  </si>
  <si>
    <t>3a+3b</t>
  </si>
  <si>
    <t>if Normal,min(3c,2a), Or 0</t>
  </si>
  <si>
    <t>3c-3d</t>
  </si>
  <si>
    <t>ETR</t>
  </si>
  <si>
    <t>Gross Block</t>
  </si>
  <si>
    <t>Depreciation</t>
  </si>
  <si>
    <t>Depreciation as per books</t>
  </si>
  <si>
    <t>Depreciation as per WDV</t>
  </si>
  <si>
    <t>ROE%: (Grossed up)</t>
  </si>
  <si>
    <t>Add: Depreciation as per books</t>
  </si>
  <si>
    <t>Less: Depreciation for tax</t>
  </si>
  <si>
    <t>Taxable Profit</t>
  </si>
  <si>
    <t>Deferred tax liability</t>
  </si>
  <si>
    <t>((C62+C63)/(1-C10)*C10/(C62+(C62+C63)/(1-C10)*C10))</t>
  </si>
  <si>
    <t>ETR-Combined (Presently allowed by Commission)</t>
  </si>
  <si>
    <t>ETR for the Company as a whole</t>
  </si>
  <si>
    <t>Company is paying tax@corp.rate due to profit in regulated business</t>
  </si>
  <si>
    <t>Ref</t>
  </si>
  <si>
    <t>Yr-1</t>
  </si>
  <si>
    <t>Yr-2</t>
  </si>
  <si>
    <t>Yr-3</t>
  </si>
  <si>
    <t>Yr-4</t>
  </si>
  <si>
    <t>Yr-5</t>
  </si>
  <si>
    <t>Profit Before Tax (PBT)</t>
  </si>
  <si>
    <t>ai</t>
  </si>
  <si>
    <t>aii</t>
  </si>
  <si>
    <t>Non core Income included in PBT</t>
  </si>
  <si>
    <t>aiii</t>
  </si>
  <si>
    <t>ai-aii</t>
  </si>
  <si>
    <t>aiv</t>
  </si>
  <si>
    <t>Core income other than ROE included in PBT</t>
  </si>
  <si>
    <t>av</t>
  </si>
  <si>
    <t>aiii-aiv</t>
  </si>
  <si>
    <t>Tax</t>
  </si>
  <si>
    <t>bi</t>
  </si>
  <si>
    <t>bii</t>
  </si>
  <si>
    <t>biii</t>
  </si>
  <si>
    <t>biv</t>
  </si>
  <si>
    <t>bv</t>
  </si>
  <si>
    <t>bii-biii-biv</t>
  </si>
  <si>
    <t>bvi</t>
  </si>
  <si>
    <t>bi*bii</t>
  </si>
  <si>
    <t>bvii</t>
  </si>
  <si>
    <t>biii*bi+biv*bi</t>
  </si>
  <si>
    <t>Tax paid on Core Business income</t>
  </si>
  <si>
    <t>bvi-bvii</t>
  </si>
  <si>
    <t>Effective Tax Rate  (ETR as per CERC methodology)</t>
  </si>
  <si>
    <t>bvii/(aiii-bvi)</t>
  </si>
  <si>
    <t>Return on Equity</t>
  </si>
  <si>
    <t>di</t>
  </si>
  <si>
    <t>dii</t>
  </si>
  <si>
    <t>di/(1-c)</t>
  </si>
  <si>
    <t xml:space="preserve">Break up of the Amount required </t>
  </si>
  <si>
    <t>ei</t>
  </si>
  <si>
    <t>(DTI-PBT)</t>
  </si>
  <si>
    <t>bii-ai</t>
  </si>
  <si>
    <t>eii</t>
  </si>
  <si>
    <t>tax element in Grossed up (DTI-PBT)</t>
  </si>
  <si>
    <t>ei/(1-bi)-ei</t>
  </si>
  <si>
    <t>eiii</t>
  </si>
  <si>
    <t>Pre-tax ROE</t>
  </si>
  <si>
    <t>eiv</t>
  </si>
  <si>
    <t>SUM(eii:eiii)</t>
  </si>
  <si>
    <t>ev</t>
  </si>
  <si>
    <t>eiv-dii</t>
  </si>
  <si>
    <t>fi</t>
  </si>
  <si>
    <t>Tax on pre-tax ROE</t>
  </si>
  <si>
    <t>bi*(di/(1-bi))</t>
  </si>
  <si>
    <t>fii</t>
  </si>
  <si>
    <t>bi*(bii-ai)</t>
  </si>
  <si>
    <t>fiii</t>
  </si>
  <si>
    <t>di/(1-bi)</t>
  </si>
  <si>
    <t>fiv</t>
  </si>
  <si>
    <t>(fi+fii/(1-bi))/ 
(fiii+fii/(1-bi))</t>
  </si>
  <si>
    <t>fv</t>
  </si>
  <si>
    <t>ROE Grossed up as per Proposed ETR</t>
  </si>
  <si>
    <t>fvi</t>
  </si>
  <si>
    <t>Shortfall in case of Proposed ETR</t>
  </si>
  <si>
    <t>Proposed ETR=
(tax on pre-tax ROE+tax on (DTI-PBT)/(1-MAT))/(pre-tax ROE+tax on (DTI-PBT)/(1-MAT))</t>
  </si>
  <si>
    <t>yes</t>
  </si>
  <si>
    <t>Tax Regime</t>
  </si>
  <si>
    <t>Corporate</t>
  </si>
  <si>
    <t xml:space="preserve">MAT Credit </t>
  </si>
  <si>
    <t>Nil</t>
  </si>
  <si>
    <t>R.B.</t>
  </si>
  <si>
    <t>NRB</t>
  </si>
  <si>
    <t>Profit/ Loss</t>
  </si>
  <si>
    <t>Reg. Income</t>
  </si>
  <si>
    <t>Overall tax payable</t>
  </si>
  <si>
    <t>Prifit/Loss</t>
  </si>
  <si>
    <t>Overall</t>
  </si>
  <si>
    <t>Effective Tax Rate</t>
  </si>
  <si>
    <t>Yr-6</t>
  </si>
  <si>
    <t>Yr-7</t>
  </si>
  <si>
    <t>Tax foregone by R.B.</t>
  </si>
  <si>
    <t>NonR. Income</t>
  </si>
  <si>
    <t xml:space="preserve">Adjusted Tax </t>
  </si>
  <si>
    <t>Tax rate to be proposed</t>
  </si>
  <si>
    <t>Yr-8</t>
  </si>
  <si>
    <t>Yr-9</t>
  </si>
  <si>
    <t>Yr-10</t>
  </si>
  <si>
    <t xml:space="preserve">adusted Cumm. Tax Forgone by R.B. </t>
  </si>
  <si>
    <t>Zero tax due to loss in other business</t>
  </si>
  <si>
    <t>The tax foregone earlier to be claimed in the year when there is no loss other business (adjusted tax)</t>
  </si>
  <si>
    <t>Adjustment in tax to be to the extent of profit by the NRB</t>
  </si>
  <si>
    <t>Tax payable 
(if considered separate)</t>
  </si>
  <si>
    <t>RB</t>
  </si>
  <si>
    <t>Total</t>
  </si>
  <si>
    <t>Year:1</t>
  </si>
  <si>
    <t>Year:2</t>
  </si>
  <si>
    <t>Separate</t>
  </si>
  <si>
    <t>Businesses</t>
  </si>
  <si>
    <t>tax allowable on RB</t>
  </si>
  <si>
    <t>tax allowable on NRB</t>
  </si>
  <si>
    <t>Cumm tax (both years)</t>
  </si>
  <si>
    <t>tax proposed on RB</t>
  </si>
  <si>
    <t>tax proposed on NRB</t>
  </si>
  <si>
    <t>Actual</t>
  </si>
  <si>
    <t>Existing Regluations</t>
  </si>
  <si>
    <t>Proposed Regulations</t>
  </si>
  <si>
    <t>Existing Regulations</t>
  </si>
  <si>
    <t>PAT(RoE)</t>
  </si>
  <si>
    <t>PAT(RoE for RB)</t>
  </si>
  <si>
    <t>Cumm PBT (both Years</t>
  </si>
  <si>
    <t>PBT=TI</t>
  </si>
  <si>
    <t>TI</t>
  </si>
  <si>
    <t>RB*</t>
  </si>
  <si>
    <t>NRB*</t>
  </si>
  <si>
    <t>Combined*</t>
  </si>
  <si>
    <t>Subsidy used</t>
  </si>
  <si>
    <t>Subsidy returned</t>
  </si>
  <si>
    <t>Particular</t>
  </si>
  <si>
    <t>Year</t>
  </si>
  <si>
    <t>G</t>
  </si>
  <si>
    <t>H</t>
  </si>
  <si>
    <t>Formula</t>
  </si>
  <si>
    <t>G=E+F</t>
  </si>
  <si>
    <t>Cumulative PBT (both Years</t>
  </si>
  <si>
    <t>Cumulative Tax (both years)</t>
  </si>
  <si>
    <t>c=30%xb, 0 if -ve</t>
  </si>
  <si>
    <t>d=c/b</t>
  </si>
  <si>
    <t>b = a/(1-d) for RB</t>
  </si>
  <si>
    <t>f=e/(1-j) for RB</t>
  </si>
  <si>
    <t>g=b if -ve</t>
  </si>
  <si>
    <t>h=f+g</t>
  </si>
  <si>
    <t>i=30%xh</t>
  </si>
  <si>
    <t>j=i/f</t>
  </si>
  <si>
    <t>k=b+f</t>
  </si>
  <si>
    <t>l=c+i</t>
  </si>
  <si>
    <t>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</si>
</sst>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0000%"/>
    <numFmt numFmtId="166" formatCode="0.00000"/>
    <numFmt numFmtId="167" formatCode="#,##0.0000"/>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color indexed="8"/>
      <name val="Calibri"/>
      <family val="2"/>
    </font>
    <font>
      <sz val="11"/>
      <color theme="3" tint="0.39997558519241921"/>
      <name val="Calibri"/>
      <family val="2"/>
      <scheme val="minor"/>
    </font>
    <font>
      <sz val="9"/>
      <color theme="1"/>
      <name val="Calibri"/>
      <family val="2"/>
      <scheme val="minor"/>
    </font>
    <font>
      <i/>
      <sz val="11"/>
      <color theme="2" tint="-0.499984740745262"/>
      <name val="Calibri"/>
      <family val="2"/>
      <scheme val="minor"/>
    </font>
    <font>
      <sz val="8"/>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164" fontId="5" fillId="0" borderId="0" applyFont="0" applyFill="0" applyBorder="0" applyAlignment="0" applyProtection="0"/>
    <xf numFmtId="9" fontId="5" fillId="0" borderId="0" applyFont="0" applyFill="0" applyBorder="0" applyAlignment="0" applyProtection="0"/>
  </cellStyleXfs>
  <cellXfs count="183">
    <xf numFmtId="0" fontId="0" fillId="0" borderId="0" xfId="0"/>
    <xf numFmtId="2" fontId="0" fillId="0" borderId="0" xfId="0" applyNumberFormat="1"/>
    <xf numFmtId="0" fontId="0" fillId="0" borderId="0" xfId="0" applyAlignment="1">
      <alignment wrapText="1"/>
    </xf>
    <xf numFmtId="2" fontId="0" fillId="0" borderId="0" xfId="0" applyNumberFormat="1" applyAlignment="1">
      <alignment horizontal="right"/>
    </xf>
    <xf numFmtId="0" fontId="0" fillId="0" borderId="0" xfId="0" applyAlignment="1">
      <alignment horizontal="right"/>
    </xf>
    <xf numFmtId="0" fontId="1" fillId="0" borderId="0" xfId="0" applyFont="1" applyAlignment="1">
      <alignment wrapText="1"/>
    </xf>
    <xf numFmtId="0" fontId="1" fillId="0" borderId="0" xfId="0" applyFont="1"/>
    <xf numFmtId="2" fontId="1" fillId="0" borderId="0" xfId="0" applyNumberFormat="1" applyFont="1"/>
    <xf numFmtId="165" fontId="0" fillId="2" borderId="1" xfId="2" applyNumberFormat="1" applyFont="1" applyFill="1" applyBorder="1"/>
    <xf numFmtId="0" fontId="0" fillId="0" borderId="0" xfId="0" applyAlignment="1">
      <alignment horizontal="center"/>
    </xf>
    <xf numFmtId="0" fontId="1" fillId="0" borderId="0" xfId="0" applyFont="1" applyAlignment="1">
      <alignment horizontal="center"/>
    </xf>
    <xf numFmtId="2" fontId="1" fillId="0" borderId="0" xfId="0" applyNumberFormat="1" applyFont="1" applyAlignment="1">
      <alignment horizontal="right"/>
    </xf>
    <xf numFmtId="4" fontId="0" fillId="0" borderId="0" xfId="0" applyNumberFormat="1" applyAlignment="1">
      <alignment horizontal="right"/>
    </xf>
    <xf numFmtId="3" fontId="0" fillId="0" borderId="0" xfId="0" applyNumberFormat="1" applyAlignment="1">
      <alignment horizontal="right"/>
    </xf>
    <xf numFmtId="0" fontId="6" fillId="0" borderId="0" xfId="0" applyFont="1"/>
    <xf numFmtId="0" fontId="6" fillId="0" borderId="0" xfId="0" applyFont="1" applyAlignment="1">
      <alignment wrapText="1"/>
    </xf>
    <xf numFmtId="3" fontId="0" fillId="0" borderId="0" xfId="0" applyNumberFormat="1"/>
    <xf numFmtId="2" fontId="0" fillId="0" borderId="0" xfId="1" applyNumberFormat="1" applyFont="1"/>
    <xf numFmtId="0" fontId="0" fillId="3" borderId="0" xfId="0" applyFill="1"/>
    <xf numFmtId="165" fontId="0" fillId="3" borderId="1" xfId="2" applyNumberFormat="1" applyFont="1" applyFill="1" applyBorder="1"/>
    <xf numFmtId="2" fontId="0" fillId="3" borderId="0" xfId="0" applyNumberFormat="1" applyFill="1"/>
    <xf numFmtId="0" fontId="0" fillId="3" borderId="0" xfId="0" applyFill="1" applyAlignment="1">
      <alignment horizontal="right"/>
    </xf>
    <xf numFmtId="2" fontId="0" fillId="3" borderId="0" xfId="0" applyNumberFormat="1" applyFill="1" applyAlignment="1">
      <alignment horizontal="right"/>
    </xf>
    <xf numFmtId="2" fontId="0" fillId="0" borderId="0" xfId="0" applyNumberFormat="1" applyAlignment="1">
      <alignment wrapText="1"/>
    </xf>
    <xf numFmtId="0" fontId="0" fillId="0" borderId="0" xfId="0" applyAlignment="1">
      <alignment vertical="center"/>
    </xf>
    <xf numFmtId="165" fontId="0" fillId="0" borderId="1" xfId="2" applyNumberFormat="1" applyFont="1" applyFill="1" applyBorder="1"/>
    <xf numFmtId="0" fontId="1" fillId="0" borderId="2" xfId="0" applyFont="1" applyBorder="1"/>
    <xf numFmtId="0" fontId="1" fillId="0" borderId="2" xfId="0" applyFont="1" applyBorder="1" applyAlignment="1">
      <alignment horizontal="center"/>
    </xf>
    <xf numFmtId="0" fontId="1" fillId="0" borderId="2" xfId="0" applyFont="1" applyBorder="1" applyAlignment="1">
      <alignment vertical="center" wrapText="1"/>
    </xf>
    <xf numFmtId="0" fontId="1" fillId="0" borderId="2" xfId="0" applyFont="1" applyBorder="1" applyAlignment="1">
      <alignment wrapText="1"/>
    </xf>
    <xf numFmtId="0" fontId="0" fillId="0" borderId="2" xfId="0" applyBorder="1" applyAlignment="1">
      <alignment horizontal="center"/>
    </xf>
    <xf numFmtId="0" fontId="0" fillId="0" borderId="2" xfId="0" applyBorder="1" applyAlignment="1">
      <alignment wrapText="1"/>
    </xf>
    <xf numFmtId="2" fontId="0" fillId="0" borderId="2" xfId="0" applyNumberFormat="1" applyBorder="1"/>
    <xf numFmtId="2" fontId="0" fillId="0" borderId="2" xfId="0" applyNumberFormat="1" applyBorder="1" applyAlignment="1">
      <alignment horizontal="right"/>
    </xf>
    <xf numFmtId="2" fontId="0" fillId="0" borderId="2" xfId="1" applyNumberFormat="1" applyFont="1" applyBorder="1"/>
    <xf numFmtId="2" fontId="0" fillId="0" borderId="2" xfId="0" applyNumberFormat="1" applyBorder="1" applyAlignment="1">
      <alignment wrapText="1"/>
    </xf>
    <xf numFmtId="4" fontId="0" fillId="0" borderId="2" xfId="0" applyNumberFormat="1" applyBorder="1"/>
    <xf numFmtId="2" fontId="1" fillId="0" borderId="2" xfId="0" applyNumberFormat="1" applyFont="1" applyBorder="1" applyAlignment="1">
      <alignment horizontal="right"/>
    </xf>
    <xf numFmtId="0" fontId="0" fillId="0" borderId="2" xfId="0" applyBorder="1" applyAlignment="1">
      <alignment horizontal="right"/>
    </xf>
    <xf numFmtId="0" fontId="0" fillId="0" borderId="2" xfId="0" applyBorder="1"/>
    <xf numFmtId="0" fontId="0" fillId="0" borderId="2" xfId="0" applyBorder="1" applyAlignment="1">
      <alignment vertical="center" wrapText="1"/>
    </xf>
    <xf numFmtId="4" fontId="0" fillId="0" borderId="2" xfId="0" applyNumberFormat="1" applyBorder="1" applyAlignment="1">
      <alignment horizontal="right"/>
    </xf>
    <xf numFmtId="3" fontId="0" fillId="0" borderId="2" xfId="0" applyNumberFormat="1" applyBorder="1" applyAlignment="1">
      <alignment horizontal="right"/>
    </xf>
    <xf numFmtId="2" fontId="1" fillId="0" borderId="2" xfId="0" applyNumberFormat="1" applyFont="1" applyBorder="1"/>
    <xf numFmtId="2" fontId="1" fillId="0" borderId="2" xfId="0" applyNumberFormat="1" applyFont="1" applyBorder="1" applyAlignment="1">
      <alignment wrapText="1"/>
    </xf>
    <xf numFmtId="165" fontId="0" fillId="0" borderId="2" xfId="2" applyNumberFormat="1" applyFont="1" applyFill="1" applyBorder="1"/>
    <xf numFmtId="165" fontId="0" fillId="2" borderId="2" xfId="2" applyNumberFormat="1" applyFont="1" applyFill="1" applyBorder="1"/>
    <xf numFmtId="166" fontId="0" fillId="0" borderId="2" xfId="0" applyNumberFormat="1" applyBorder="1" applyAlignment="1">
      <alignment horizontal="right"/>
    </xf>
    <xf numFmtId="167" fontId="0" fillId="0" borderId="2" xfId="0" applyNumberFormat="1" applyBorder="1"/>
    <xf numFmtId="166" fontId="0" fillId="0" borderId="2" xfId="0" applyNumberFormat="1" applyBorder="1"/>
    <xf numFmtId="10" fontId="0" fillId="0" borderId="0" xfId="2" applyNumberFormat="1" applyFont="1"/>
    <xf numFmtId="10" fontId="0" fillId="0" borderId="2" xfId="2" applyNumberFormat="1" applyFont="1" applyFill="1" applyBorder="1" applyAlignment="1">
      <alignment horizontal="right" vertical="center"/>
    </xf>
    <xf numFmtId="0" fontId="0" fillId="2" borderId="0" xfId="0" applyFill="1"/>
    <xf numFmtId="0" fontId="1" fillId="2" borderId="0" xfId="0" applyFont="1" applyFill="1"/>
    <xf numFmtId="2" fontId="0" fillId="2" borderId="0" xfId="0" applyNumberFormat="1" applyFill="1"/>
    <xf numFmtId="2" fontId="1" fillId="2" borderId="0" xfId="0" applyNumberFormat="1" applyFont="1" applyFill="1"/>
    <xf numFmtId="166" fontId="0" fillId="2" borderId="0" xfId="0" applyNumberFormat="1" applyFill="1"/>
    <xf numFmtId="0" fontId="3" fillId="2" borderId="0" xfId="0" applyFont="1" applyFill="1"/>
    <xf numFmtId="2" fontId="3" fillId="2" borderId="0" xfId="0" applyNumberFormat="1" applyFont="1" applyFill="1"/>
    <xf numFmtId="0" fontId="1" fillId="2" borderId="0" xfId="0" applyFont="1" applyFill="1" applyAlignment="1">
      <alignment wrapText="1"/>
    </xf>
    <xf numFmtId="0" fontId="8" fillId="2" borderId="0" xfId="0" applyFont="1" applyFill="1"/>
    <xf numFmtId="2" fontId="8" fillId="2" borderId="0" xfId="0" applyNumberFormat="1" applyFont="1" applyFill="1"/>
    <xf numFmtId="2" fontId="0" fillId="0" borderId="2" xfId="1" applyNumberFormat="1" applyFont="1" applyFill="1" applyBorder="1" applyAlignment="1">
      <alignment horizontal="right" vertical="center"/>
    </xf>
    <xf numFmtId="2" fontId="1" fillId="0" borderId="2" xfId="1" applyNumberFormat="1" applyFont="1" applyFill="1" applyBorder="1" applyAlignment="1">
      <alignment horizontal="right"/>
    </xf>
    <xf numFmtId="2" fontId="0" fillId="0" borderId="2" xfId="1" applyNumberFormat="1" applyFont="1" applyFill="1" applyBorder="1" applyAlignment="1">
      <alignment horizontal="right"/>
    </xf>
    <xf numFmtId="10" fontId="0" fillId="0" borderId="2" xfId="2" applyNumberFormat="1" applyFont="1" applyFill="1" applyBorder="1" applyAlignment="1">
      <alignment horizontal="right"/>
    </xf>
    <xf numFmtId="2" fontId="2" fillId="0" borderId="2" xfId="1" applyNumberFormat="1" applyFont="1" applyFill="1" applyBorder="1" applyAlignment="1">
      <alignment horizontal="right"/>
    </xf>
    <xf numFmtId="2" fontId="0" fillId="0" borderId="0" xfId="1" applyNumberFormat="1" applyFont="1" applyAlignment="1">
      <alignment horizontal="right"/>
    </xf>
    <xf numFmtId="0" fontId="1" fillId="0" borderId="2" xfId="0" applyFont="1" applyBorder="1" applyAlignment="1">
      <alignment horizontal="center" wrapText="1"/>
    </xf>
    <xf numFmtId="0" fontId="0" fillId="0" borderId="2" xfId="0" applyBorder="1" applyAlignment="1">
      <alignment horizontal="right" wrapText="1"/>
    </xf>
    <xf numFmtId="0" fontId="0" fillId="0" borderId="0" xfId="0" applyAlignment="1">
      <alignment horizontal="right" wrapText="1"/>
    </xf>
    <xf numFmtId="10" fontId="0" fillId="0" borderId="0" xfId="0" applyNumberFormat="1"/>
    <xf numFmtId="0" fontId="0" fillId="4" borderId="2" xfId="0" applyFill="1" applyBorder="1" applyAlignment="1">
      <alignment horizontal="right" wrapText="1"/>
    </xf>
    <xf numFmtId="0" fontId="0" fillId="4" borderId="2" xfId="0" applyFill="1" applyBorder="1" applyAlignment="1">
      <alignment horizontal="center" wrapText="1"/>
    </xf>
    <xf numFmtId="10" fontId="0" fillId="4" borderId="2" xfId="2" applyNumberFormat="1" applyFont="1" applyFill="1" applyBorder="1" applyAlignment="1">
      <alignment horizontal="right" vertical="center"/>
    </xf>
    <xf numFmtId="0" fontId="1" fillId="4" borderId="0" xfId="0" applyFont="1" applyFill="1" applyAlignment="1">
      <alignment horizontal="right" wrapText="1"/>
    </xf>
    <xf numFmtId="0" fontId="1" fillId="4" borderId="0" xfId="0" applyFont="1" applyFill="1" applyAlignment="1">
      <alignment horizontal="center"/>
    </xf>
    <xf numFmtId="2" fontId="1" fillId="4" borderId="0" xfId="1" applyNumberFormat="1" applyFont="1" applyFill="1" applyAlignment="1">
      <alignment horizontal="right"/>
    </xf>
    <xf numFmtId="10" fontId="1" fillId="0" borderId="0" xfId="2" applyNumberFormat="1" applyFont="1"/>
    <xf numFmtId="2" fontId="0" fillId="0" borderId="0" xfId="0" applyNumberFormat="1" applyAlignment="1">
      <alignment horizontal="center"/>
    </xf>
    <xf numFmtId="2" fontId="0" fillId="0" borderId="2" xfId="2" applyNumberFormat="1" applyFont="1" applyFill="1" applyBorder="1" applyAlignment="1">
      <alignment horizontal="right" vertical="center"/>
    </xf>
    <xf numFmtId="10" fontId="0" fillId="4" borderId="0" xfId="2" applyNumberFormat="1" applyFont="1" applyFill="1" applyBorder="1" applyAlignment="1">
      <alignment horizontal="right" vertical="center"/>
    </xf>
    <xf numFmtId="2" fontId="0" fillId="4" borderId="2" xfId="2" applyNumberFormat="1" applyFont="1" applyFill="1" applyBorder="1" applyAlignment="1">
      <alignment horizontal="right" vertical="center"/>
    </xf>
    <xf numFmtId="2" fontId="1" fillId="4" borderId="2" xfId="2" applyNumberFormat="1" applyFont="1" applyFill="1" applyBorder="1" applyAlignment="1">
      <alignment horizontal="right" vertical="center"/>
    </xf>
    <xf numFmtId="0" fontId="1" fillId="4" borderId="2" xfId="0" applyFont="1" applyFill="1" applyBorder="1" applyAlignment="1">
      <alignment horizontal="right" wrapText="1"/>
    </xf>
    <xf numFmtId="0" fontId="1" fillId="4" borderId="2" xfId="0" applyFont="1" applyFill="1" applyBorder="1" applyAlignment="1">
      <alignment horizontal="center" wrapText="1"/>
    </xf>
    <xf numFmtId="0" fontId="0" fillId="4" borderId="2" xfId="0" applyFont="1" applyFill="1" applyBorder="1" applyAlignment="1">
      <alignment horizontal="right" wrapText="1"/>
    </xf>
    <xf numFmtId="0" fontId="0" fillId="0" borderId="0" xfId="0" applyFill="1" applyAlignment="1">
      <alignment horizontal="center"/>
    </xf>
    <xf numFmtId="0" fontId="1" fillId="0" borderId="2" xfId="0" applyFont="1" applyFill="1" applyBorder="1" applyAlignment="1">
      <alignment horizontal="center"/>
    </xf>
    <xf numFmtId="0" fontId="1" fillId="0" borderId="2" xfId="0" applyFont="1" applyFill="1" applyBorder="1" applyAlignment="1">
      <alignment horizontal="right"/>
    </xf>
    <xf numFmtId="0" fontId="1" fillId="0" borderId="2" xfId="0" applyFont="1" applyFill="1" applyBorder="1"/>
    <xf numFmtId="0" fontId="0" fillId="0" borderId="2" xfId="0" applyFill="1" applyBorder="1" applyAlignment="1">
      <alignment horizontal="center"/>
    </xf>
    <xf numFmtId="0" fontId="0" fillId="0" borderId="2" xfId="0" applyFill="1" applyBorder="1" applyAlignment="1">
      <alignment horizontal="right"/>
    </xf>
    <xf numFmtId="0" fontId="1" fillId="0" borderId="2" xfId="0" applyFont="1" applyFill="1" applyBorder="1" applyAlignment="1">
      <alignment horizontal="right" wrapText="1"/>
    </xf>
    <xf numFmtId="0" fontId="0" fillId="0" borderId="2" xfId="0" applyFill="1" applyBorder="1"/>
    <xf numFmtId="0" fontId="0" fillId="0" borderId="2" xfId="0" applyFill="1" applyBorder="1" applyAlignment="1">
      <alignment horizontal="right" wrapText="1"/>
    </xf>
    <xf numFmtId="0" fontId="0" fillId="0" borderId="2" xfId="0" applyFill="1" applyBorder="1" applyAlignment="1">
      <alignment horizontal="center" wrapText="1"/>
    </xf>
    <xf numFmtId="0" fontId="1" fillId="0" borderId="2" xfId="0" applyFont="1" applyFill="1" applyBorder="1" applyAlignment="1">
      <alignment horizontal="center" wrapText="1"/>
    </xf>
    <xf numFmtId="2" fontId="1" fillId="0" borderId="2" xfId="2" applyNumberFormat="1" applyFont="1" applyFill="1" applyBorder="1" applyAlignment="1">
      <alignment horizontal="right" vertical="center"/>
    </xf>
    <xf numFmtId="9" fontId="0" fillId="0" borderId="0" xfId="0" applyNumberFormat="1"/>
    <xf numFmtId="0" fontId="0" fillId="0" borderId="0" xfId="0" applyFill="1" applyBorder="1"/>
    <xf numFmtId="0" fontId="0" fillId="0" borderId="0" xfId="0" applyBorder="1"/>
    <xf numFmtId="2" fontId="0" fillId="0" borderId="0" xfId="0" applyNumberFormat="1" applyBorder="1"/>
    <xf numFmtId="2" fontId="0" fillId="0" borderId="0" xfId="2" applyNumberFormat="1" applyFont="1"/>
    <xf numFmtId="0" fontId="0" fillId="0" borderId="0" xfId="0" applyFont="1"/>
    <xf numFmtId="0" fontId="1" fillId="0" borderId="0" xfId="0" applyFont="1" applyBorder="1"/>
    <xf numFmtId="0" fontId="0" fillId="0" borderId="0" xfId="0" applyFont="1" applyAlignment="1">
      <alignment horizontal="center"/>
    </xf>
    <xf numFmtId="0" fontId="0" fillId="0" borderId="0" xfId="0" applyBorder="1" applyAlignment="1">
      <alignment horizontal="center"/>
    </xf>
    <xf numFmtId="0" fontId="0" fillId="0" borderId="0" xfId="0" applyFill="1" applyBorder="1" applyAlignment="1">
      <alignment horizontal="center"/>
    </xf>
    <xf numFmtId="2" fontId="2" fillId="0" borderId="0" xfId="2" applyNumberFormat="1" applyFont="1"/>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xf>
    <xf numFmtId="0" fontId="11" fillId="0" borderId="2" xfId="0" applyFont="1" applyFill="1" applyBorder="1" applyAlignment="1">
      <alignment horizontal="center" vertical="center" wrapText="1"/>
    </xf>
    <xf numFmtId="2" fontId="11" fillId="0" borderId="2" xfId="2" applyNumberFormat="1" applyFont="1" applyFill="1" applyBorder="1" applyAlignment="1">
      <alignment horizontal="center" vertical="center"/>
    </xf>
    <xf numFmtId="2" fontId="10" fillId="0" borderId="2" xfId="2" applyNumberFormat="1" applyFont="1" applyFill="1" applyBorder="1" applyAlignment="1">
      <alignment horizontal="center" vertical="center"/>
    </xf>
    <xf numFmtId="10" fontId="0" fillId="0" borderId="2" xfId="2" applyNumberFormat="1" applyFont="1" applyFill="1" applyBorder="1" applyAlignment="1">
      <alignment horizontal="right" vertical="center" wrapText="1"/>
    </xf>
    <xf numFmtId="0" fontId="11" fillId="4" borderId="2"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43" fontId="0" fillId="0" borderId="2" xfId="1" applyFont="1" applyBorder="1"/>
    <xf numFmtId="0" fontId="0" fillId="0" borderId="2" xfId="0" applyFont="1" applyBorder="1"/>
    <xf numFmtId="2" fontId="0" fillId="0" borderId="2" xfId="0" applyNumberFormat="1" applyFont="1" applyBorder="1"/>
    <xf numFmtId="2" fontId="0" fillId="0" borderId="0" xfId="0" applyNumberFormat="1" applyFont="1"/>
    <xf numFmtId="0" fontId="0" fillId="0" borderId="2" xfId="0" applyFont="1" applyFill="1" applyBorder="1"/>
    <xf numFmtId="0" fontId="0" fillId="0" borderId="2" xfId="0" applyFont="1" applyBorder="1" applyAlignment="1">
      <alignment horizontal="center" vertical="center"/>
    </xf>
    <xf numFmtId="9" fontId="0" fillId="0" borderId="0" xfId="0" applyNumberFormat="1" applyFont="1"/>
    <xf numFmtId="9" fontId="0" fillId="0" borderId="2" xfId="0" applyNumberFormat="1" applyFont="1" applyBorder="1" applyAlignment="1">
      <alignment horizontal="center" vertical="center" wrapText="1"/>
    </xf>
    <xf numFmtId="9" fontId="0" fillId="0" borderId="2" xfId="2" applyFont="1" applyBorder="1"/>
    <xf numFmtId="2" fontId="0" fillId="0" borderId="0" xfId="1" applyNumberFormat="1" applyFont="1" applyBorder="1"/>
    <xf numFmtId="2" fontId="0" fillId="0" borderId="2" xfId="2" applyNumberFormat="1" applyFont="1" applyBorder="1"/>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2" fontId="0" fillId="0" borderId="9" xfId="1" applyNumberFormat="1" applyFont="1" applyBorder="1"/>
    <xf numFmtId="2" fontId="0" fillId="0" borderId="10" xfId="0" applyNumberFormat="1" applyFont="1" applyBorder="1"/>
    <xf numFmtId="2" fontId="0" fillId="0" borderId="9" xfId="0" applyNumberFormat="1" applyFont="1" applyBorder="1"/>
    <xf numFmtId="9" fontId="0" fillId="0" borderId="9" xfId="2" applyFont="1" applyBorder="1"/>
    <xf numFmtId="9" fontId="0" fillId="0" borderId="10" xfId="2" applyFont="1" applyBorder="1"/>
    <xf numFmtId="2" fontId="0" fillId="0" borderId="10" xfId="1" applyNumberFormat="1" applyFont="1" applyBorder="1"/>
    <xf numFmtId="2" fontId="0" fillId="0" borderId="11" xfId="0" applyNumberFormat="1" applyFont="1" applyBorder="1"/>
    <xf numFmtId="2" fontId="0" fillId="0" borderId="12" xfId="0" applyNumberFormat="1" applyFont="1" applyBorder="1"/>
    <xf numFmtId="2" fontId="0" fillId="0" borderId="13" xfId="0" applyNumberFormat="1" applyFont="1" applyBorder="1"/>
    <xf numFmtId="0" fontId="0" fillId="0" borderId="5" xfId="0" applyFont="1" applyBorder="1"/>
    <xf numFmtId="0" fontId="0" fillId="0" borderId="5" xfId="0" applyFont="1" applyFill="1" applyBorder="1"/>
    <xf numFmtId="43" fontId="0" fillId="0" borderId="9" xfId="1" applyFont="1" applyBorder="1"/>
    <xf numFmtId="2" fontId="0" fillId="0" borderId="10" xfId="2" applyNumberFormat="1" applyFont="1" applyBorder="1"/>
    <xf numFmtId="0" fontId="0" fillId="0" borderId="9" xfId="0" applyFont="1" applyBorder="1" applyAlignment="1">
      <alignment horizontal="center" vertical="center" wrapText="1"/>
    </xf>
    <xf numFmtId="9" fontId="0" fillId="0" borderId="10" xfId="0" applyNumberFormat="1" applyFont="1" applyBorder="1" applyAlignment="1">
      <alignment horizontal="center" vertical="center" wrapText="1"/>
    </xf>
    <xf numFmtId="2" fontId="0" fillId="0" borderId="9" xfId="2" applyNumberFormat="1" applyFont="1" applyBorder="1"/>
    <xf numFmtId="0" fontId="1" fillId="0" borderId="3" xfId="0" applyFont="1" applyFill="1" applyBorder="1" applyAlignment="1">
      <alignment horizontal="right"/>
    </xf>
    <xf numFmtId="0" fontId="1" fillId="0" borderId="4" xfId="0" applyFont="1" applyFill="1" applyBorder="1" applyAlignment="1">
      <alignment horizontal="right"/>
    </xf>
    <xf numFmtId="0" fontId="1" fillId="0" borderId="0" xfId="0" applyFont="1" applyAlignment="1">
      <alignment horizontal="center" vertical="center"/>
    </xf>
    <xf numFmtId="0" fontId="1" fillId="0" borderId="0" xfId="0" applyFont="1" applyAlignment="1">
      <alignment horizontal="center" vertical="center" wrapText="1"/>
    </xf>
    <xf numFmtId="0" fontId="7" fillId="0" borderId="2" xfId="0" applyFont="1" applyBorder="1" applyAlignment="1">
      <alignment horizontal="center" wrapText="1"/>
    </xf>
    <xf numFmtId="0" fontId="0" fillId="0" borderId="2" xfId="0" applyFont="1" applyBorder="1" applyAlignment="1">
      <alignment horizontal="center" vertical="center" wrapText="1"/>
    </xf>
    <xf numFmtId="0" fontId="0" fillId="0" borderId="2" xfId="0" applyFont="1" applyBorder="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9" fontId="1" fillId="0" borderId="6"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8" xfId="0" applyNumberFormat="1" applyFont="1" applyBorder="1" applyAlignment="1">
      <alignment horizontal="center" vertical="center"/>
    </xf>
    <xf numFmtId="9" fontId="1" fillId="0" borderId="6"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9" fontId="1" fillId="0" borderId="10"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0" fontId="7" fillId="0" borderId="0" xfId="0" applyFont="1"/>
    <xf numFmtId="0" fontId="12" fillId="0" borderId="0" xfId="0" applyFont="1"/>
    <xf numFmtId="0" fontId="12" fillId="0" borderId="0" xfId="0" applyFont="1" applyAlignment="1">
      <alignment horizontal="center"/>
    </xf>
    <xf numFmtId="9" fontId="12" fillId="0" borderId="0" xfId="0" applyNumberFormat="1" applyFont="1"/>
    <xf numFmtId="9" fontId="12" fillId="0" borderId="0" xfId="0" applyNumberFormat="1" applyFont="1" applyAlignment="1">
      <alignment wrapText="1"/>
    </xf>
    <xf numFmtId="9" fontId="13" fillId="0" borderId="0" xfId="0" applyNumberFormat="1" applyFont="1"/>
    <xf numFmtId="9" fontId="1" fillId="0" borderId="2" xfId="0" applyNumberFormat="1" applyFont="1" applyBorder="1"/>
  </cellXfs>
  <cellStyles count="6">
    <cellStyle name="Comma" xfId="1" builtinId="3"/>
    <cellStyle name="Comma 10" xfId="4"/>
    <cellStyle name="Normal" xfId="0" builtinId="0"/>
    <cellStyle name="Normal 6" xfId="3"/>
    <cellStyle name="Percent" xfId="2" builtinId="5"/>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topLeftCell="A16" workbookViewId="0">
      <selection activeCell="D36" sqref="D36"/>
    </sheetView>
  </sheetViews>
  <sheetFormatPr defaultRowHeight="15" x14ac:dyDescent="0.25"/>
  <cols>
    <col min="2" max="2" width="33.140625" bestFit="1" customWidth="1"/>
    <col min="3" max="3" width="6.85546875" bestFit="1" customWidth="1"/>
  </cols>
  <sheetData>
    <row r="2" spans="2:13" x14ac:dyDescent="0.25">
      <c r="B2" s="6" t="s">
        <v>264</v>
      </c>
      <c r="C2" s="6"/>
    </row>
    <row r="3" spans="2:13" x14ac:dyDescent="0.25">
      <c r="B3" t="s">
        <v>263</v>
      </c>
      <c r="D3" s="99">
        <v>0.3</v>
      </c>
      <c r="E3" s="99">
        <v>0.3</v>
      </c>
      <c r="F3" s="99">
        <v>0.3</v>
      </c>
      <c r="G3" s="99">
        <v>0.3</v>
      </c>
      <c r="H3" s="99">
        <v>0.3</v>
      </c>
      <c r="I3" s="99">
        <v>0.3</v>
      </c>
      <c r="J3" s="99">
        <v>0.3</v>
      </c>
      <c r="K3" s="99">
        <v>0.3</v>
      </c>
      <c r="L3" s="99">
        <v>0.3</v>
      </c>
      <c r="M3" s="99">
        <v>0.3</v>
      </c>
    </row>
    <row r="4" spans="2:13" x14ac:dyDescent="0.25">
      <c r="B4" t="s">
        <v>262</v>
      </c>
      <c r="D4">
        <v>1000</v>
      </c>
      <c r="E4">
        <v>1000</v>
      </c>
      <c r="F4">
        <v>1000</v>
      </c>
      <c r="G4">
        <v>1000</v>
      </c>
      <c r="H4">
        <v>1000</v>
      </c>
      <c r="I4">
        <v>1000</v>
      </c>
      <c r="J4">
        <v>1000</v>
      </c>
      <c r="K4">
        <v>1000</v>
      </c>
      <c r="L4">
        <v>1000</v>
      </c>
      <c r="M4">
        <v>1000</v>
      </c>
    </row>
    <row r="5" spans="2:13" x14ac:dyDescent="0.25">
      <c r="B5" t="s">
        <v>261</v>
      </c>
      <c r="D5" s="71">
        <f t="shared" ref="D5:M5" si="0">15.5%/(1-D3)</f>
        <v>0.22142857142857145</v>
      </c>
      <c r="E5" s="71">
        <f t="shared" si="0"/>
        <v>0.22142857142857145</v>
      </c>
      <c r="F5" s="71">
        <f t="shared" si="0"/>
        <v>0.22142857142857145</v>
      </c>
      <c r="G5" s="71">
        <f t="shared" si="0"/>
        <v>0.22142857142857145</v>
      </c>
      <c r="H5" s="71">
        <f t="shared" si="0"/>
        <v>0.22142857142857145</v>
      </c>
      <c r="I5" s="71">
        <f t="shared" si="0"/>
        <v>0.22142857142857145</v>
      </c>
      <c r="J5" s="71">
        <f t="shared" si="0"/>
        <v>0.22142857142857145</v>
      </c>
      <c r="K5" s="71">
        <f t="shared" si="0"/>
        <v>0.22142857142857145</v>
      </c>
      <c r="L5" s="71">
        <f t="shared" si="0"/>
        <v>0.22142857142857145</v>
      </c>
      <c r="M5" s="71">
        <f t="shared" si="0"/>
        <v>0.22142857142857145</v>
      </c>
    </row>
    <row r="6" spans="2:13" x14ac:dyDescent="0.25">
      <c r="B6" t="s">
        <v>260</v>
      </c>
      <c r="D6" s="1">
        <f t="shared" ref="D6:M6" si="1">D4*D5</f>
        <v>221.42857142857144</v>
      </c>
      <c r="E6" s="1">
        <f t="shared" si="1"/>
        <v>221.42857142857144</v>
      </c>
      <c r="F6" s="1">
        <f t="shared" si="1"/>
        <v>221.42857142857144</v>
      </c>
      <c r="G6" s="1">
        <f t="shared" si="1"/>
        <v>221.42857142857144</v>
      </c>
      <c r="H6" s="1">
        <f t="shared" si="1"/>
        <v>221.42857142857144</v>
      </c>
      <c r="I6" s="1">
        <f t="shared" si="1"/>
        <v>221.42857142857144</v>
      </c>
      <c r="J6" s="1">
        <f t="shared" si="1"/>
        <v>221.42857142857144</v>
      </c>
      <c r="K6" s="1">
        <f t="shared" si="1"/>
        <v>221.42857142857144</v>
      </c>
      <c r="L6" s="1">
        <f t="shared" si="1"/>
        <v>221.42857142857144</v>
      </c>
      <c r="M6" s="1">
        <f t="shared" si="1"/>
        <v>221.42857142857144</v>
      </c>
    </row>
    <row r="7" spans="2:13" x14ac:dyDescent="0.25">
      <c r="B7" t="s">
        <v>259</v>
      </c>
      <c r="D7" s="1">
        <f t="shared" ref="D7:M7" si="2">D6*D3</f>
        <v>66.428571428571431</v>
      </c>
      <c r="E7" s="1">
        <f t="shared" si="2"/>
        <v>66.428571428571431</v>
      </c>
      <c r="F7" s="1">
        <f t="shared" si="2"/>
        <v>66.428571428571431</v>
      </c>
      <c r="G7" s="1">
        <f t="shared" si="2"/>
        <v>66.428571428571431</v>
      </c>
      <c r="H7" s="1">
        <f t="shared" si="2"/>
        <v>66.428571428571431</v>
      </c>
      <c r="I7" s="1">
        <f t="shared" si="2"/>
        <v>66.428571428571431</v>
      </c>
      <c r="J7" s="1">
        <f t="shared" si="2"/>
        <v>66.428571428571431</v>
      </c>
      <c r="K7" s="1">
        <f t="shared" si="2"/>
        <v>66.428571428571431</v>
      </c>
      <c r="L7" s="1">
        <f t="shared" si="2"/>
        <v>66.428571428571431</v>
      </c>
      <c r="M7" s="1">
        <f t="shared" si="2"/>
        <v>66.428571428571431</v>
      </c>
    </row>
    <row r="8" spans="2:13" x14ac:dyDescent="0.25">
      <c r="B8" t="s">
        <v>258</v>
      </c>
      <c r="D8" s="71">
        <f t="shared" ref="D8:M8" si="3">D7/D6</f>
        <v>0.3</v>
      </c>
      <c r="E8" s="71">
        <f t="shared" si="3"/>
        <v>0.3</v>
      </c>
      <c r="F8" s="71">
        <f t="shared" si="3"/>
        <v>0.3</v>
      </c>
      <c r="G8" s="71">
        <f t="shared" si="3"/>
        <v>0.3</v>
      </c>
      <c r="H8" s="71">
        <f t="shared" si="3"/>
        <v>0.3</v>
      </c>
      <c r="I8" s="71">
        <f t="shared" si="3"/>
        <v>0.3</v>
      </c>
      <c r="J8" s="71">
        <f t="shared" si="3"/>
        <v>0.3</v>
      </c>
      <c r="K8" s="71">
        <f t="shared" si="3"/>
        <v>0.3</v>
      </c>
      <c r="L8" s="71">
        <f t="shared" si="3"/>
        <v>0.3</v>
      </c>
      <c r="M8" s="71">
        <f t="shared" si="3"/>
        <v>0.3</v>
      </c>
    </row>
    <row r="9" spans="2:13" x14ac:dyDescent="0.25">
      <c r="D9" s="71"/>
      <c r="E9" s="71"/>
      <c r="F9" s="71"/>
      <c r="G9" s="71"/>
      <c r="H9" s="71"/>
      <c r="I9" s="71"/>
      <c r="J9" s="71"/>
      <c r="K9" s="71"/>
      <c r="L9" s="71"/>
      <c r="M9" s="71"/>
    </row>
    <row r="10" spans="2:13" x14ac:dyDescent="0.25">
      <c r="B10" s="6" t="s">
        <v>257</v>
      </c>
      <c r="C10" s="6"/>
      <c r="D10" s="71"/>
      <c r="E10" s="71"/>
      <c r="F10" s="71"/>
      <c r="G10" s="71"/>
      <c r="H10" s="71"/>
      <c r="I10" s="71"/>
      <c r="J10" s="71"/>
      <c r="K10" s="71"/>
      <c r="L10" s="71"/>
      <c r="M10" s="71"/>
    </row>
    <row r="11" spans="2:13" x14ac:dyDescent="0.25">
      <c r="B11" t="s">
        <v>256</v>
      </c>
      <c r="D11" s="1">
        <v>1000</v>
      </c>
      <c r="E11" s="1">
        <v>1000</v>
      </c>
      <c r="F11" s="1">
        <v>1000</v>
      </c>
      <c r="G11" s="1">
        <v>1000</v>
      </c>
      <c r="H11" s="1">
        <v>1000</v>
      </c>
      <c r="I11" s="1">
        <v>1000</v>
      </c>
      <c r="J11" s="1">
        <v>1000</v>
      </c>
      <c r="K11" s="1">
        <v>1000</v>
      </c>
      <c r="L11" s="1">
        <v>1000</v>
      </c>
      <c r="M11" s="1">
        <v>1000</v>
      </c>
    </row>
    <row r="12" spans="2:13" x14ac:dyDescent="0.25">
      <c r="B12" t="s">
        <v>255</v>
      </c>
      <c r="D12" s="71">
        <v>-0.9</v>
      </c>
      <c r="E12" s="71">
        <v>-0.1</v>
      </c>
      <c r="F12" s="71">
        <v>0.05</v>
      </c>
      <c r="G12" s="71">
        <v>0.2</v>
      </c>
      <c r="H12" s="71">
        <v>0.5</v>
      </c>
      <c r="I12" s="71">
        <v>0.2</v>
      </c>
      <c r="J12" s="71">
        <v>0.2</v>
      </c>
      <c r="K12" s="71">
        <v>0.2</v>
      </c>
      <c r="L12" s="71">
        <v>0.2</v>
      </c>
      <c r="M12" s="71">
        <v>0.2</v>
      </c>
    </row>
    <row r="13" spans="2:13" x14ac:dyDescent="0.25">
      <c r="B13" t="s">
        <v>254</v>
      </c>
      <c r="D13" s="1">
        <f t="shared" ref="D13:M13" si="4">D11*D12</f>
        <v>-900</v>
      </c>
      <c r="E13" s="1">
        <f t="shared" si="4"/>
        <v>-100</v>
      </c>
      <c r="F13" s="1">
        <f t="shared" si="4"/>
        <v>50</v>
      </c>
      <c r="G13" s="1">
        <f t="shared" si="4"/>
        <v>200</v>
      </c>
      <c r="H13" s="1">
        <f t="shared" si="4"/>
        <v>500</v>
      </c>
      <c r="I13" s="1">
        <f t="shared" si="4"/>
        <v>200</v>
      </c>
      <c r="J13" s="1">
        <f t="shared" si="4"/>
        <v>200</v>
      </c>
      <c r="K13" s="1">
        <f t="shared" si="4"/>
        <v>200</v>
      </c>
      <c r="L13" s="1">
        <f t="shared" si="4"/>
        <v>200</v>
      </c>
      <c r="M13" s="1">
        <f t="shared" si="4"/>
        <v>200</v>
      </c>
    </row>
    <row r="14" spans="2:13" x14ac:dyDescent="0.25">
      <c r="B14" t="s">
        <v>248</v>
      </c>
      <c r="D14" s="1">
        <v>0</v>
      </c>
      <c r="E14" s="1">
        <f t="shared" ref="E14:M14" si="5">D17</f>
        <v>-900</v>
      </c>
      <c r="F14" s="1">
        <f t="shared" si="5"/>
        <v>-1000</v>
      </c>
      <c r="G14" s="1">
        <f t="shared" si="5"/>
        <v>-950</v>
      </c>
      <c r="H14" s="1">
        <f t="shared" si="5"/>
        <v>-750</v>
      </c>
      <c r="I14" s="1">
        <f t="shared" si="5"/>
        <v>-250</v>
      </c>
      <c r="J14" s="1">
        <f t="shared" si="5"/>
        <v>-50</v>
      </c>
      <c r="K14" s="1">
        <f t="shared" si="5"/>
        <v>0</v>
      </c>
      <c r="L14" s="1">
        <f t="shared" si="5"/>
        <v>0</v>
      </c>
      <c r="M14" s="1">
        <f t="shared" si="5"/>
        <v>0</v>
      </c>
    </row>
    <row r="15" spans="2:13" x14ac:dyDescent="0.25">
      <c r="B15" t="s">
        <v>247</v>
      </c>
      <c r="D15" s="1">
        <f t="shared" ref="D15:M15" si="6">IF(D13&lt;0,D13,0)</f>
        <v>-900</v>
      </c>
      <c r="E15" s="1">
        <f t="shared" si="6"/>
        <v>-100</v>
      </c>
      <c r="F15" s="1">
        <f t="shared" si="6"/>
        <v>0</v>
      </c>
      <c r="G15" s="1">
        <f t="shared" si="6"/>
        <v>0</v>
      </c>
      <c r="H15" s="1">
        <f t="shared" si="6"/>
        <v>0</v>
      </c>
      <c r="I15" s="1">
        <f t="shared" si="6"/>
        <v>0</v>
      </c>
      <c r="J15" s="1">
        <f t="shared" si="6"/>
        <v>0</v>
      </c>
      <c r="K15" s="1">
        <f t="shared" si="6"/>
        <v>0</v>
      </c>
      <c r="L15" s="1">
        <f t="shared" si="6"/>
        <v>0</v>
      </c>
      <c r="M15" s="1">
        <f t="shared" si="6"/>
        <v>0</v>
      </c>
    </row>
    <row r="16" spans="2:13" x14ac:dyDescent="0.25">
      <c r="B16" t="s">
        <v>246</v>
      </c>
      <c r="D16" s="1">
        <f t="shared" ref="D16:M16" si="7">IF(D13&gt;0,MIN(-D14,D13),0)</f>
        <v>0</v>
      </c>
      <c r="E16" s="1">
        <f t="shared" si="7"/>
        <v>0</v>
      </c>
      <c r="F16" s="1">
        <f t="shared" si="7"/>
        <v>50</v>
      </c>
      <c r="G16" s="1">
        <f t="shared" si="7"/>
        <v>200</v>
      </c>
      <c r="H16" s="1">
        <f t="shared" si="7"/>
        <v>500</v>
      </c>
      <c r="I16" s="1">
        <f t="shared" si="7"/>
        <v>200</v>
      </c>
      <c r="J16" s="1">
        <f t="shared" si="7"/>
        <v>50</v>
      </c>
      <c r="K16" s="1">
        <f t="shared" si="7"/>
        <v>0</v>
      </c>
      <c r="L16" s="1">
        <f t="shared" si="7"/>
        <v>0</v>
      </c>
      <c r="M16" s="1">
        <f t="shared" si="7"/>
        <v>0</v>
      </c>
    </row>
    <row r="17" spans="2:13" x14ac:dyDescent="0.25">
      <c r="B17" t="s">
        <v>245</v>
      </c>
      <c r="D17" s="1">
        <f t="shared" ref="D17:M17" si="8">D14+D15+D16</f>
        <v>-900</v>
      </c>
      <c r="E17" s="1">
        <f t="shared" si="8"/>
        <v>-1000</v>
      </c>
      <c r="F17" s="1">
        <f t="shared" si="8"/>
        <v>-950</v>
      </c>
      <c r="G17" s="1">
        <f t="shared" si="8"/>
        <v>-750</v>
      </c>
      <c r="H17" s="1">
        <f t="shared" si="8"/>
        <v>-250</v>
      </c>
      <c r="I17" s="1">
        <f t="shared" si="8"/>
        <v>-50</v>
      </c>
      <c r="J17" s="1">
        <f t="shared" si="8"/>
        <v>0</v>
      </c>
      <c r="K17" s="1">
        <f t="shared" si="8"/>
        <v>0</v>
      </c>
      <c r="L17" s="1">
        <f t="shared" si="8"/>
        <v>0</v>
      </c>
      <c r="M17" s="1">
        <f t="shared" si="8"/>
        <v>0</v>
      </c>
    </row>
    <row r="18" spans="2:13" x14ac:dyDescent="0.25">
      <c r="D18" s="1"/>
      <c r="E18" s="1"/>
      <c r="F18" s="1"/>
      <c r="G18" s="1"/>
      <c r="H18" s="1"/>
      <c r="I18" s="1"/>
      <c r="J18" s="1"/>
      <c r="K18" s="1"/>
      <c r="L18" s="1"/>
      <c r="M18" s="1"/>
    </row>
    <row r="19" spans="2:13" x14ac:dyDescent="0.25">
      <c r="B19" t="s">
        <v>253</v>
      </c>
      <c r="D19" s="1">
        <f t="shared" ref="D19:M19" si="9">IF(D13&gt;0,D13-D16,0)</f>
        <v>0</v>
      </c>
      <c r="E19" s="1">
        <f t="shared" si="9"/>
        <v>0</v>
      </c>
      <c r="F19" s="1">
        <f t="shared" si="9"/>
        <v>0</v>
      </c>
      <c r="G19" s="1">
        <f t="shared" si="9"/>
        <v>0</v>
      </c>
      <c r="H19" s="1">
        <f t="shared" si="9"/>
        <v>0</v>
      </c>
      <c r="I19" s="1">
        <f t="shared" si="9"/>
        <v>0</v>
      </c>
      <c r="J19" s="1">
        <f t="shared" si="9"/>
        <v>150</v>
      </c>
      <c r="K19" s="1">
        <f t="shared" si="9"/>
        <v>200</v>
      </c>
      <c r="L19" s="1">
        <f t="shared" si="9"/>
        <v>200</v>
      </c>
      <c r="M19" s="1">
        <f t="shared" si="9"/>
        <v>200</v>
      </c>
    </row>
    <row r="20" spans="2:13" x14ac:dyDescent="0.25">
      <c r="B20" t="s">
        <v>252</v>
      </c>
      <c r="D20" s="1">
        <f t="shared" ref="D20:M20" si="10">D19*D3</f>
        <v>0</v>
      </c>
      <c r="E20" s="1">
        <f t="shared" si="10"/>
        <v>0</v>
      </c>
      <c r="F20" s="1">
        <f t="shared" si="10"/>
        <v>0</v>
      </c>
      <c r="G20" s="1">
        <f t="shared" si="10"/>
        <v>0</v>
      </c>
      <c r="H20" s="1">
        <f t="shared" si="10"/>
        <v>0</v>
      </c>
      <c r="I20" s="1">
        <f t="shared" si="10"/>
        <v>0</v>
      </c>
      <c r="J20" s="1">
        <f t="shared" si="10"/>
        <v>45</v>
      </c>
      <c r="K20" s="1">
        <f t="shared" si="10"/>
        <v>60</v>
      </c>
      <c r="L20" s="1">
        <f t="shared" si="10"/>
        <v>60</v>
      </c>
      <c r="M20" s="1">
        <f t="shared" si="10"/>
        <v>60</v>
      </c>
    </row>
    <row r="21" spans="2:13" x14ac:dyDescent="0.25">
      <c r="B21" t="s">
        <v>251</v>
      </c>
      <c r="D21" s="50">
        <f t="shared" ref="D21:M21" si="11">IF(D20&gt;0,D20/D13,0)</f>
        <v>0</v>
      </c>
      <c r="E21" s="50">
        <f t="shared" si="11"/>
        <v>0</v>
      </c>
      <c r="F21" s="50">
        <f t="shared" si="11"/>
        <v>0</v>
      </c>
      <c r="G21" s="50">
        <f t="shared" si="11"/>
        <v>0</v>
      </c>
      <c r="H21" s="50">
        <f t="shared" si="11"/>
        <v>0</v>
      </c>
      <c r="I21" s="50">
        <f t="shared" si="11"/>
        <v>0</v>
      </c>
      <c r="J21" s="50">
        <f t="shared" si="11"/>
        <v>0.22500000000000001</v>
      </c>
      <c r="K21" s="50">
        <f t="shared" si="11"/>
        <v>0.3</v>
      </c>
      <c r="L21" s="50">
        <f t="shared" si="11"/>
        <v>0.3</v>
      </c>
      <c r="M21" s="50">
        <f t="shared" si="11"/>
        <v>0.3</v>
      </c>
    </row>
    <row r="22" spans="2:13" x14ac:dyDescent="0.25">
      <c r="D22" s="1"/>
      <c r="E22" s="1"/>
      <c r="F22" s="1"/>
      <c r="G22" s="1"/>
      <c r="H22" s="1"/>
      <c r="I22" s="1"/>
      <c r="J22" s="1"/>
      <c r="K22" s="1"/>
      <c r="L22" s="1"/>
      <c r="M22" s="1"/>
    </row>
    <row r="23" spans="2:13" x14ac:dyDescent="0.25">
      <c r="B23" s="6" t="s">
        <v>250</v>
      </c>
      <c r="C23" s="6"/>
      <c r="D23" s="71"/>
      <c r="E23" s="71"/>
      <c r="F23" s="71"/>
      <c r="G23" s="71"/>
      <c r="H23" s="71"/>
      <c r="I23" s="71"/>
      <c r="J23" s="71"/>
      <c r="K23" s="71"/>
      <c r="L23" s="71"/>
      <c r="M23" s="71"/>
    </row>
    <row r="24" spans="2:13" x14ac:dyDescent="0.25">
      <c r="B24" t="s">
        <v>249</v>
      </c>
      <c r="D24" s="1">
        <f t="shared" ref="D24:M24" si="12">D6+D13</f>
        <v>-678.57142857142856</v>
      </c>
      <c r="E24" s="1">
        <f t="shared" si="12"/>
        <v>121.42857142857144</v>
      </c>
      <c r="F24" s="1">
        <f t="shared" si="12"/>
        <v>271.42857142857144</v>
      </c>
      <c r="G24" s="1">
        <f t="shared" si="12"/>
        <v>421.42857142857144</v>
      </c>
      <c r="H24" s="1">
        <f t="shared" si="12"/>
        <v>721.42857142857144</v>
      </c>
      <c r="I24" s="1">
        <f t="shared" si="12"/>
        <v>421.42857142857144</v>
      </c>
      <c r="J24" s="1">
        <f t="shared" si="12"/>
        <v>421.42857142857144</v>
      </c>
      <c r="K24" s="1">
        <f t="shared" si="12"/>
        <v>421.42857142857144</v>
      </c>
      <c r="L24" s="1">
        <f t="shared" si="12"/>
        <v>421.42857142857144</v>
      </c>
      <c r="M24" s="1">
        <f t="shared" si="12"/>
        <v>421.42857142857144</v>
      </c>
    </row>
    <row r="25" spans="2:13" x14ac:dyDescent="0.25">
      <c r="B25" t="s">
        <v>248</v>
      </c>
      <c r="D25" s="1">
        <v>0</v>
      </c>
      <c r="E25" s="1">
        <f t="shared" ref="E25:M25" si="13">D28</f>
        <v>-678.57142857142856</v>
      </c>
      <c r="F25" s="1">
        <f t="shared" si="13"/>
        <v>-557.14285714285711</v>
      </c>
      <c r="G25" s="1">
        <f t="shared" si="13"/>
        <v>-285.71428571428567</v>
      </c>
      <c r="H25" s="1">
        <f t="shared" si="13"/>
        <v>0</v>
      </c>
      <c r="I25" s="1">
        <f t="shared" si="13"/>
        <v>0</v>
      </c>
      <c r="J25" s="1">
        <f t="shared" si="13"/>
        <v>0</v>
      </c>
      <c r="K25" s="1">
        <f t="shared" si="13"/>
        <v>0</v>
      </c>
      <c r="L25" s="1">
        <f t="shared" si="13"/>
        <v>0</v>
      </c>
      <c r="M25" s="1">
        <f t="shared" si="13"/>
        <v>0</v>
      </c>
    </row>
    <row r="26" spans="2:13" x14ac:dyDescent="0.25">
      <c r="B26" t="s">
        <v>247</v>
      </c>
      <c r="D26" s="1">
        <f t="shared" ref="D26:M26" si="14">IF(D24&lt;0,D24,0)</f>
        <v>-678.57142857142856</v>
      </c>
      <c r="E26" s="1">
        <f t="shared" si="14"/>
        <v>0</v>
      </c>
      <c r="F26" s="1">
        <f t="shared" si="14"/>
        <v>0</v>
      </c>
      <c r="G26" s="1">
        <f t="shared" si="14"/>
        <v>0</v>
      </c>
      <c r="H26" s="1">
        <f t="shared" si="14"/>
        <v>0</v>
      </c>
      <c r="I26" s="1">
        <f t="shared" si="14"/>
        <v>0</v>
      </c>
      <c r="J26" s="1">
        <f t="shared" si="14"/>
        <v>0</v>
      </c>
      <c r="K26" s="1">
        <f t="shared" si="14"/>
        <v>0</v>
      </c>
      <c r="L26" s="1">
        <f t="shared" si="14"/>
        <v>0</v>
      </c>
      <c r="M26" s="1">
        <f t="shared" si="14"/>
        <v>0</v>
      </c>
    </row>
    <row r="27" spans="2:13" x14ac:dyDescent="0.25">
      <c r="B27" t="s">
        <v>246</v>
      </c>
      <c r="D27" s="1">
        <f t="shared" ref="D27:M27" si="15">IF(D24&gt;0,MIN(-D25,D24),0)</f>
        <v>0</v>
      </c>
      <c r="E27" s="1">
        <f t="shared" si="15"/>
        <v>121.42857142857144</v>
      </c>
      <c r="F27" s="1">
        <f t="shared" si="15"/>
        <v>271.42857142857144</v>
      </c>
      <c r="G27" s="1">
        <f t="shared" si="15"/>
        <v>285.71428571428567</v>
      </c>
      <c r="H27" s="1">
        <f t="shared" si="15"/>
        <v>0</v>
      </c>
      <c r="I27" s="1">
        <f t="shared" si="15"/>
        <v>0</v>
      </c>
      <c r="J27" s="1">
        <f t="shared" si="15"/>
        <v>0</v>
      </c>
      <c r="K27" s="1">
        <f t="shared" si="15"/>
        <v>0</v>
      </c>
      <c r="L27" s="1">
        <f t="shared" si="15"/>
        <v>0</v>
      </c>
      <c r="M27" s="1">
        <f t="shared" si="15"/>
        <v>0</v>
      </c>
    </row>
    <row r="28" spans="2:13" x14ac:dyDescent="0.25">
      <c r="B28" t="s">
        <v>245</v>
      </c>
      <c r="D28" s="1">
        <f t="shared" ref="D28:M28" si="16">D25+D26+D27</f>
        <v>-678.57142857142856</v>
      </c>
      <c r="E28" s="1">
        <f t="shared" si="16"/>
        <v>-557.14285714285711</v>
      </c>
      <c r="F28" s="1">
        <f t="shared" si="16"/>
        <v>-285.71428571428567</v>
      </c>
      <c r="G28" s="1">
        <f t="shared" si="16"/>
        <v>0</v>
      </c>
      <c r="H28" s="1">
        <f t="shared" si="16"/>
        <v>0</v>
      </c>
      <c r="I28" s="1">
        <f t="shared" si="16"/>
        <v>0</v>
      </c>
      <c r="J28" s="1">
        <f t="shared" si="16"/>
        <v>0</v>
      </c>
      <c r="K28" s="1">
        <f t="shared" si="16"/>
        <v>0</v>
      </c>
      <c r="L28" s="1">
        <f t="shared" si="16"/>
        <v>0</v>
      </c>
      <c r="M28" s="1">
        <f t="shared" si="16"/>
        <v>0</v>
      </c>
    </row>
    <row r="29" spans="2:13" x14ac:dyDescent="0.25">
      <c r="D29" s="1"/>
      <c r="E29" s="1"/>
      <c r="F29" s="1"/>
      <c r="G29" s="1"/>
      <c r="H29" s="1"/>
      <c r="I29" s="1"/>
      <c r="J29" s="1"/>
      <c r="K29" s="1"/>
      <c r="L29" s="1"/>
      <c r="M29" s="1"/>
    </row>
    <row r="30" spans="2:13" x14ac:dyDescent="0.25">
      <c r="B30" t="s">
        <v>265</v>
      </c>
      <c r="D30" s="1">
        <f t="shared" ref="D30:M30" si="17">IF(D24&gt;0,D24-D27,0)</f>
        <v>0</v>
      </c>
      <c r="E30" s="1">
        <f t="shared" si="17"/>
        <v>0</v>
      </c>
      <c r="F30" s="1">
        <f t="shared" si="17"/>
        <v>0</v>
      </c>
      <c r="G30" s="1">
        <f t="shared" si="17"/>
        <v>135.71428571428578</v>
      </c>
      <c r="H30" s="1">
        <f t="shared" si="17"/>
        <v>721.42857142857144</v>
      </c>
      <c r="I30" s="1">
        <f t="shared" si="17"/>
        <v>421.42857142857144</v>
      </c>
      <c r="J30" s="1">
        <f t="shared" si="17"/>
        <v>421.42857142857144</v>
      </c>
      <c r="K30" s="1">
        <f t="shared" si="17"/>
        <v>421.42857142857144</v>
      </c>
      <c r="L30" s="1">
        <f t="shared" si="17"/>
        <v>421.42857142857144</v>
      </c>
      <c r="M30" s="1">
        <f t="shared" si="17"/>
        <v>421.42857142857144</v>
      </c>
    </row>
    <row r="31" spans="2:13" x14ac:dyDescent="0.25">
      <c r="B31" t="s">
        <v>266</v>
      </c>
      <c r="D31" s="1">
        <f t="shared" ref="D31:M31" si="18">D30*D3</f>
        <v>0</v>
      </c>
      <c r="E31" s="1">
        <f t="shared" si="18"/>
        <v>0</v>
      </c>
      <c r="F31" s="1">
        <f t="shared" si="18"/>
        <v>0</v>
      </c>
      <c r="G31" s="1">
        <f t="shared" si="18"/>
        <v>40.71428571428573</v>
      </c>
      <c r="H31" s="1">
        <f t="shared" si="18"/>
        <v>216.42857142857142</v>
      </c>
      <c r="I31" s="1">
        <f t="shared" si="18"/>
        <v>126.42857142857143</v>
      </c>
      <c r="J31" s="1">
        <f t="shared" si="18"/>
        <v>126.42857142857143</v>
      </c>
      <c r="K31" s="1">
        <f t="shared" si="18"/>
        <v>126.42857142857143</v>
      </c>
      <c r="L31" s="1">
        <f t="shared" si="18"/>
        <v>126.42857142857143</v>
      </c>
      <c r="M31" s="1">
        <f t="shared" si="18"/>
        <v>126.42857142857143</v>
      </c>
    </row>
    <row r="32" spans="2:13" x14ac:dyDescent="0.25">
      <c r="B32" s="6" t="s">
        <v>267</v>
      </c>
      <c r="C32" s="6"/>
      <c r="D32" s="7">
        <f t="shared" ref="D32:M32" si="19">IF(D31&gt;0,D31/D24,0)</f>
        <v>0</v>
      </c>
      <c r="E32" s="7">
        <f t="shared" si="19"/>
        <v>0</v>
      </c>
      <c r="F32" s="7">
        <f t="shared" si="19"/>
        <v>0</v>
      </c>
      <c r="G32" s="7">
        <f t="shared" si="19"/>
        <v>9.6610169491525455E-2</v>
      </c>
      <c r="H32" s="7">
        <f t="shared" si="19"/>
        <v>0.3</v>
      </c>
      <c r="I32" s="7">
        <f t="shared" si="19"/>
        <v>0.3</v>
      </c>
      <c r="J32" s="7">
        <f t="shared" si="19"/>
        <v>0.3</v>
      </c>
      <c r="K32" s="7">
        <f t="shared" si="19"/>
        <v>0.3</v>
      </c>
      <c r="L32" s="7">
        <f t="shared" si="19"/>
        <v>0.3</v>
      </c>
      <c r="M32" s="7">
        <f t="shared" si="19"/>
        <v>0.3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120" zoomScaleNormal="100" zoomScaleSheetLayoutView="120" workbookViewId="0">
      <pane xSplit="2" ySplit="3" topLeftCell="C19" activePane="bottomRight" state="frozen"/>
      <selection pane="topRight" activeCell="C1" sqref="C1"/>
      <selection pane="bottomLeft" activeCell="A3" sqref="A3"/>
      <selection pane="bottomRight" activeCell="C1" sqref="C1"/>
    </sheetView>
  </sheetViews>
  <sheetFormatPr defaultRowHeight="15" x14ac:dyDescent="0.25"/>
  <cols>
    <col min="1" max="1" width="5.7109375" customWidth="1"/>
    <col min="2" max="2" width="89.85546875" customWidth="1"/>
    <col min="3" max="3" width="12" customWidth="1"/>
    <col min="4" max="7" width="11.85546875" bestFit="1" customWidth="1"/>
    <col min="8" max="10" width="12.28515625" bestFit="1" customWidth="1"/>
    <col min="11" max="11" width="12.7109375" customWidth="1"/>
  </cols>
  <sheetData>
    <row r="1" spans="1:10" x14ac:dyDescent="0.25">
      <c r="E1" t="s">
        <v>140</v>
      </c>
    </row>
    <row r="2" spans="1:10" ht="30" x14ac:dyDescent="0.25">
      <c r="B2" s="5" t="s">
        <v>13</v>
      </c>
      <c r="C2" s="5"/>
      <c r="D2" s="5"/>
    </row>
    <row r="3" spans="1:10" ht="15" customHeight="1" x14ac:dyDescent="0.25">
      <c r="A3" s="155" t="s">
        <v>125</v>
      </c>
      <c r="B3" s="26" t="s">
        <v>58</v>
      </c>
      <c r="C3" s="27" t="s">
        <v>84</v>
      </c>
      <c r="D3" s="27" t="s">
        <v>83</v>
      </c>
      <c r="E3" s="27" t="s">
        <v>11</v>
      </c>
      <c r="F3" s="27" t="s">
        <v>12</v>
      </c>
      <c r="G3" s="27" t="s">
        <v>10</v>
      </c>
      <c r="H3" s="27" t="s">
        <v>15</v>
      </c>
      <c r="I3" s="27" t="s">
        <v>16</v>
      </c>
      <c r="J3" s="27" t="s">
        <v>17</v>
      </c>
    </row>
    <row r="4" spans="1:10" ht="19.5" customHeight="1" x14ac:dyDescent="0.25">
      <c r="A4" s="155"/>
      <c r="B4" s="28" t="s">
        <v>18</v>
      </c>
      <c r="C4" s="29"/>
      <c r="D4" s="29"/>
      <c r="E4" s="27"/>
      <c r="F4" s="27"/>
      <c r="G4" s="27"/>
      <c r="H4" s="27"/>
      <c r="I4" s="27"/>
      <c r="J4" s="27"/>
    </row>
    <row r="5" spans="1:10" x14ac:dyDescent="0.25">
      <c r="A5" s="30">
        <v>4</v>
      </c>
      <c r="B5" s="31" t="s">
        <v>59</v>
      </c>
      <c r="C5" s="32">
        <v>112.1136822</v>
      </c>
      <c r="D5" s="32">
        <v>108.9610902</v>
      </c>
      <c r="E5" s="32">
        <v>195.77887010000001</v>
      </c>
      <c r="F5" s="33">
        <v>138.77239370000001</v>
      </c>
      <c r="G5" s="32">
        <v>112.5747543</v>
      </c>
      <c r="H5" s="32">
        <v>121.1411927</v>
      </c>
      <c r="I5" s="32">
        <v>102.0119102</v>
      </c>
      <c r="J5" s="34">
        <v>91.390902699999998</v>
      </c>
    </row>
    <row r="6" spans="1:10" x14ac:dyDescent="0.25">
      <c r="A6" s="30">
        <v>5</v>
      </c>
      <c r="B6" s="29" t="s">
        <v>19</v>
      </c>
      <c r="C6" s="29"/>
      <c r="D6" s="29"/>
      <c r="E6" s="29"/>
      <c r="F6" s="29"/>
      <c r="G6" s="29"/>
      <c r="H6" s="29"/>
      <c r="I6" s="29"/>
      <c r="J6" s="29"/>
    </row>
    <row r="7" spans="1:10" ht="30.75" customHeight="1" x14ac:dyDescent="0.25">
      <c r="A7" s="30" t="s">
        <v>44</v>
      </c>
      <c r="B7" s="31" t="s">
        <v>21</v>
      </c>
      <c r="C7" s="32">
        <v>6.5936589999999997</v>
      </c>
      <c r="D7" s="32">
        <v>7.9862618000000003</v>
      </c>
      <c r="E7" s="32">
        <v>39.2415722</v>
      </c>
      <c r="F7" s="33">
        <v>0</v>
      </c>
      <c r="G7" s="32">
        <v>15.605704299999999</v>
      </c>
      <c r="H7" s="33">
        <v>0</v>
      </c>
      <c r="I7" s="32">
        <v>9.3088554999999999</v>
      </c>
      <c r="J7" s="32">
        <v>34.8795</v>
      </c>
    </row>
    <row r="8" spans="1:10" x14ac:dyDescent="0.25">
      <c r="A8" s="30" t="s">
        <v>53</v>
      </c>
      <c r="B8" s="31" t="s">
        <v>23</v>
      </c>
      <c r="C8" s="35">
        <v>0</v>
      </c>
      <c r="D8" s="33">
        <v>0</v>
      </c>
      <c r="E8" s="33">
        <v>0</v>
      </c>
      <c r="F8" s="33">
        <v>0</v>
      </c>
      <c r="G8" s="33">
        <v>0</v>
      </c>
      <c r="H8" s="33">
        <v>0</v>
      </c>
      <c r="I8" s="33">
        <v>0</v>
      </c>
      <c r="J8" s="48">
        <f>305324/10^7</f>
        <v>3.0532400000000001E-2</v>
      </c>
    </row>
    <row r="9" spans="1:10" x14ac:dyDescent="0.25">
      <c r="A9" s="30" t="s">
        <v>48</v>
      </c>
      <c r="B9" s="31" t="s">
        <v>31</v>
      </c>
      <c r="C9" s="32">
        <f>816287840/10^7</f>
        <v>81.628783999999996</v>
      </c>
      <c r="D9" s="33">
        <v>0</v>
      </c>
      <c r="E9" s="33">
        <v>0</v>
      </c>
      <c r="F9" s="33">
        <v>0</v>
      </c>
      <c r="G9" s="33">
        <v>0</v>
      </c>
      <c r="H9" s="33">
        <v>0</v>
      </c>
      <c r="I9" s="33">
        <v>0</v>
      </c>
      <c r="J9" s="33">
        <v>0</v>
      </c>
    </row>
    <row r="10" spans="1:10" ht="30.75" customHeight="1" x14ac:dyDescent="0.25">
      <c r="A10" s="30" t="s">
        <v>45</v>
      </c>
      <c r="B10" s="31" t="s">
        <v>81</v>
      </c>
      <c r="C10" s="32">
        <f>82029/10^7</f>
        <v>8.2029000000000008E-3</v>
      </c>
      <c r="D10" s="32">
        <f>819661405/10^7</f>
        <v>81.966140499999995</v>
      </c>
      <c r="E10" s="33">
        <v>0</v>
      </c>
      <c r="F10" s="33">
        <f>12526252/10^7</f>
        <v>1.2526252</v>
      </c>
      <c r="G10" s="33">
        <v>0</v>
      </c>
      <c r="H10" s="33">
        <v>0</v>
      </c>
      <c r="I10" s="33">
        <v>0</v>
      </c>
      <c r="J10" s="48">
        <f>1175000/10^7</f>
        <v>0.11749999999999999</v>
      </c>
    </row>
    <row r="11" spans="1:10" x14ac:dyDescent="0.25">
      <c r="A11" s="30" t="s">
        <v>50</v>
      </c>
      <c r="B11" s="26" t="s">
        <v>127</v>
      </c>
      <c r="C11" s="37">
        <f>C7+C8+C9+C10</f>
        <v>88.230645899999999</v>
      </c>
      <c r="D11" s="37">
        <f t="shared" ref="D11:J11" si="0">D7+D8+D9+D10</f>
        <v>89.952402299999989</v>
      </c>
      <c r="E11" s="37">
        <f t="shared" si="0"/>
        <v>39.2415722</v>
      </c>
      <c r="F11" s="37">
        <f t="shared" si="0"/>
        <v>1.2526252</v>
      </c>
      <c r="G11" s="37">
        <f t="shared" si="0"/>
        <v>15.605704299999999</v>
      </c>
      <c r="H11" s="37">
        <f t="shared" si="0"/>
        <v>0</v>
      </c>
      <c r="I11" s="37">
        <f t="shared" si="0"/>
        <v>9.3088554999999999</v>
      </c>
      <c r="J11" s="37">
        <f t="shared" si="0"/>
        <v>35.027532399999998</v>
      </c>
    </row>
    <row r="12" spans="1:10" ht="30" x14ac:dyDescent="0.25">
      <c r="A12" s="30"/>
      <c r="B12" s="31" t="s">
        <v>129</v>
      </c>
      <c r="C12" s="31"/>
      <c r="D12" s="31"/>
      <c r="E12" s="30"/>
      <c r="F12" s="38"/>
      <c r="G12" s="38"/>
      <c r="H12" s="38"/>
      <c r="I12" s="38"/>
      <c r="J12" s="38"/>
    </row>
    <row r="13" spans="1:10" x14ac:dyDescent="0.25">
      <c r="A13" s="30">
        <v>6</v>
      </c>
      <c r="B13" s="26" t="s">
        <v>20</v>
      </c>
      <c r="C13" s="26"/>
      <c r="D13" s="26"/>
      <c r="E13" s="26"/>
      <c r="F13" s="26"/>
      <c r="G13" s="26"/>
      <c r="H13" s="26"/>
      <c r="I13" s="26"/>
      <c r="J13" s="26"/>
    </row>
    <row r="14" spans="1:10" x14ac:dyDescent="0.25">
      <c r="A14" s="30" t="s">
        <v>48</v>
      </c>
      <c r="B14" s="31" t="s">
        <v>43</v>
      </c>
      <c r="C14" s="32">
        <v>81.628783999999996</v>
      </c>
      <c r="D14" s="32">
        <v>81.966140499999995</v>
      </c>
      <c r="E14" s="32">
        <v>108.0840017</v>
      </c>
      <c r="F14" s="33">
        <v>0</v>
      </c>
      <c r="G14" s="33">
        <v>0</v>
      </c>
      <c r="H14" s="32">
        <v>38.127312000000003</v>
      </c>
      <c r="I14" s="33">
        <v>0</v>
      </c>
      <c r="J14" s="33">
        <v>0</v>
      </c>
    </row>
    <row r="15" spans="1:10" x14ac:dyDescent="0.25">
      <c r="A15" s="27" t="s">
        <v>57</v>
      </c>
      <c r="B15" s="29" t="s">
        <v>128</v>
      </c>
      <c r="C15" s="37">
        <f>C14</f>
        <v>81.628783999999996</v>
      </c>
      <c r="D15" s="37">
        <f t="shared" ref="D15:J15" si="1">D14</f>
        <v>81.966140499999995</v>
      </c>
      <c r="E15" s="37">
        <f t="shared" si="1"/>
        <v>108.0840017</v>
      </c>
      <c r="F15" s="37">
        <f t="shared" si="1"/>
        <v>0</v>
      </c>
      <c r="G15" s="37">
        <f t="shared" si="1"/>
        <v>0</v>
      </c>
      <c r="H15" s="37">
        <f t="shared" si="1"/>
        <v>38.127312000000003</v>
      </c>
      <c r="I15" s="37">
        <f t="shared" si="1"/>
        <v>0</v>
      </c>
      <c r="J15" s="37">
        <f t="shared" si="1"/>
        <v>0</v>
      </c>
    </row>
    <row r="16" spans="1:10" x14ac:dyDescent="0.25">
      <c r="A16" s="30"/>
      <c r="B16" s="29"/>
      <c r="C16" s="29"/>
      <c r="D16" s="29"/>
      <c r="E16" s="39"/>
      <c r="F16" s="38"/>
      <c r="G16" s="38"/>
      <c r="H16" s="38"/>
      <c r="I16" s="38"/>
      <c r="J16" s="38"/>
    </row>
    <row r="17" spans="1:11" x14ac:dyDescent="0.25">
      <c r="A17" s="30">
        <v>7</v>
      </c>
      <c r="B17" s="39" t="s">
        <v>76</v>
      </c>
      <c r="C17" s="33">
        <f t="shared" ref="C17:J17" si="2">C5+C11-C15</f>
        <v>118.71554409999999</v>
      </c>
      <c r="D17" s="33">
        <f t="shared" si="2"/>
        <v>116.947352</v>
      </c>
      <c r="E17" s="33">
        <f t="shared" si="2"/>
        <v>126.93644060000001</v>
      </c>
      <c r="F17" s="33">
        <f t="shared" si="2"/>
        <v>140.02501890000002</v>
      </c>
      <c r="G17" s="33">
        <f t="shared" si="2"/>
        <v>128.18045860000001</v>
      </c>
      <c r="H17" s="33">
        <f t="shared" si="2"/>
        <v>83.013880700000001</v>
      </c>
      <c r="I17" s="33">
        <f t="shared" si="2"/>
        <v>111.32076570000001</v>
      </c>
      <c r="J17" s="33">
        <f t="shared" si="2"/>
        <v>126.4184351</v>
      </c>
    </row>
    <row r="18" spans="1:11" ht="45.75" customHeight="1" x14ac:dyDescent="0.25">
      <c r="A18" s="30">
        <v>8</v>
      </c>
      <c r="B18" s="31" t="s">
        <v>130</v>
      </c>
      <c r="C18" s="40" t="s">
        <v>126</v>
      </c>
      <c r="D18" s="40" t="s">
        <v>126</v>
      </c>
      <c r="E18" s="38" t="s">
        <v>8</v>
      </c>
      <c r="F18" s="33" t="s">
        <v>8</v>
      </c>
      <c r="G18" s="33" t="s">
        <v>8</v>
      </c>
      <c r="H18" s="33" t="s">
        <v>8</v>
      </c>
      <c r="I18" s="41" t="s">
        <v>8</v>
      </c>
      <c r="J18" s="42" t="s">
        <v>8</v>
      </c>
    </row>
    <row r="19" spans="1:11" x14ac:dyDescent="0.25">
      <c r="A19" s="30"/>
      <c r="B19" s="26" t="s">
        <v>61</v>
      </c>
      <c r="C19" s="26"/>
      <c r="D19" s="26"/>
      <c r="E19" s="39"/>
      <c r="F19" s="33"/>
      <c r="G19" s="33"/>
      <c r="H19" s="33"/>
      <c r="I19" s="41"/>
      <c r="J19" s="42"/>
    </row>
    <row r="20" spans="1:11" ht="32.25" customHeight="1" x14ac:dyDescent="0.25">
      <c r="A20" s="30"/>
      <c r="B20" s="31" t="s">
        <v>62</v>
      </c>
      <c r="C20" s="35">
        <v>0</v>
      </c>
      <c r="D20" s="35">
        <v>0</v>
      </c>
      <c r="E20" s="32">
        <v>0</v>
      </c>
      <c r="F20" s="33">
        <v>0</v>
      </c>
      <c r="G20" s="33">
        <v>0</v>
      </c>
      <c r="H20" s="33">
        <v>0</v>
      </c>
      <c r="I20" s="36">
        <f>1454091/10^7</f>
        <v>0.14540910000000001</v>
      </c>
      <c r="J20" s="36">
        <f>5373346/10^7</f>
        <v>0.5373346</v>
      </c>
    </row>
    <row r="21" spans="1:11" x14ac:dyDescent="0.25">
      <c r="A21" s="30"/>
      <c r="B21" s="31" t="s">
        <v>64</v>
      </c>
      <c r="C21" s="35">
        <v>0</v>
      </c>
      <c r="D21" s="35">
        <v>0</v>
      </c>
      <c r="E21" s="32">
        <f>563656000/10^7</f>
        <v>56.365600000000001</v>
      </c>
      <c r="F21" s="32">
        <f>561891000/10^7</f>
        <v>56.189100000000003</v>
      </c>
      <c r="G21" s="32">
        <f>561875219/10^7</f>
        <v>56.1875219</v>
      </c>
      <c r="H21" s="32">
        <f>561875219/10^7</f>
        <v>56.1875219</v>
      </c>
      <c r="I21" s="32">
        <f>562053819/10^7</f>
        <v>56.205381899999999</v>
      </c>
      <c r="J21" s="41">
        <v>0</v>
      </c>
    </row>
    <row r="22" spans="1:11" x14ac:dyDescent="0.25">
      <c r="A22" s="30"/>
      <c r="B22" s="29" t="s">
        <v>131</v>
      </c>
      <c r="C22" s="43">
        <f t="shared" ref="C22:J22" si="3">SUM(C20:C21)</f>
        <v>0</v>
      </c>
      <c r="D22" s="43">
        <f t="shared" si="3"/>
        <v>0</v>
      </c>
      <c r="E22" s="32">
        <f t="shared" si="3"/>
        <v>56.365600000000001</v>
      </c>
      <c r="F22" s="33">
        <f t="shared" si="3"/>
        <v>56.189100000000003</v>
      </c>
      <c r="G22" s="33">
        <f t="shared" si="3"/>
        <v>56.1875219</v>
      </c>
      <c r="H22" s="33">
        <f t="shared" si="3"/>
        <v>56.1875219</v>
      </c>
      <c r="I22" s="33">
        <f t="shared" si="3"/>
        <v>56.350791000000001</v>
      </c>
      <c r="J22" s="33">
        <f t="shared" si="3"/>
        <v>0.5373346</v>
      </c>
      <c r="K22" s="1"/>
    </row>
    <row r="23" spans="1:11" x14ac:dyDescent="0.25">
      <c r="A23" s="30"/>
      <c r="B23" s="26" t="s">
        <v>66</v>
      </c>
      <c r="C23" s="26"/>
      <c r="D23" s="26"/>
      <c r="E23" s="39"/>
      <c r="F23" s="33"/>
      <c r="G23" s="33"/>
      <c r="H23" s="33"/>
      <c r="I23" s="41"/>
      <c r="J23" s="42"/>
    </row>
    <row r="24" spans="1:11" ht="30" x14ac:dyDescent="0.25">
      <c r="A24" s="30"/>
      <c r="B24" s="31" t="s">
        <v>67</v>
      </c>
      <c r="C24" s="35">
        <v>0</v>
      </c>
      <c r="D24" s="35">
        <v>0</v>
      </c>
      <c r="E24" s="32">
        <v>0</v>
      </c>
      <c r="F24" s="32">
        <f>2265080/10^7</f>
        <v>0.22650799999999999</v>
      </c>
      <c r="G24" s="32">
        <f>1086699/10^7</f>
        <v>0.1086699</v>
      </c>
      <c r="H24" s="32">
        <f>160354/10^7</f>
        <v>1.6035399999999998E-2</v>
      </c>
      <c r="I24" s="41">
        <v>0</v>
      </c>
      <c r="J24" s="41">
        <v>0</v>
      </c>
      <c r="K24" s="1"/>
    </row>
    <row r="25" spans="1:11" x14ac:dyDescent="0.25">
      <c r="A25" s="30"/>
      <c r="B25" s="39" t="s">
        <v>69</v>
      </c>
      <c r="C25" s="32">
        <v>0</v>
      </c>
      <c r="D25" s="32">
        <v>0</v>
      </c>
      <c r="E25" s="32">
        <v>0</v>
      </c>
      <c r="F25" s="32">
        <f>15781/10^7</f>
        <v>1.5781E-3</v>
      </c>
      <c r="G25" s="33">
        <v>0</v>
      </c>
      <c r="H25" s="33">
        <v>0</v>
      </c>
      <c r="I25" s="41">
        <v>0</v>
      </c>
      <c r="J25" s="41">
        <v>0</v>
      </c>
      <c r="K25" s="1"/>
    </row>
    <row r="26" spans="1:11" x14ac:dyDescent="0.25">
      <c r="A26" s="30"/>
      <c r="B26" s="29" t="s">
        <v>132</v>
      </c>
      <c r="C26" s="44">
        <v>0</v>
      </c>
      <c r="D26" s="44">
        <v>0</v>
      </c>
      <c r="E26" s="43">
        <v>0</v>
      </c>
      <c r="F26" s="37">
        <f>SUM(F24:F25)</f>
        <v>0.22808609999999999</v>
      </c>
      <c r="G26" s="37">
        <f>SUM(G24:G25)</f>
        <v>0.1086699</v>
      </c>
      <c r="H26" s="37">
        <f>SUM(H24:H25)</f>
        <v>1.6035399999999998E-2</v>
      </c>
      <c r="I26" s="37">
        <f>SUM(I24:I25)</f>
        <v>0</v>
      </c>
      <c r="J26" s="37">
        <f>SUM(J24:J25)</f>
        <v>0</v>
      </c>
      <c r="K26" s="1"/>
    </row>
    <row r="27" spans="1:11" x14ac:dyDescent="0.25">
      <c r="A27" s="30">
        <v>9</v>
      </c>
      <c r="B27" s="26" t="s">
        <v>79</v>
      </c>
      <c r="C27" s="32">
        <f t="shared" ref="C27:J27" si="4">C17+C22-C26</f>
        <v>118.71554409999999</v>
      </c>
      <c r="D27" s="32">
        <f t="shared" si="4"/>
        <v>116.947352</v>
      </c>
      <c r="E27" s="32">
        <f t="shared" si="4"/>
        <v>183.3020406</v>
      </c>
      <c r="F27" s="33">
        <f t="shared" si="4"/>
        <v>195.9860328</v>
      </c>
      <c r="G27" s="33">
        <f t="shared" si="4"/>
        <v>184.25931060000002</v>
      </c>
      <c r="H27" s="33">
        <f t="shared" si="4"/>
        <v>139.1853672</v>
      </c>
      <c r="I27" s="33">
        <f t="shared" si="4"/>
        <v>167.6715567</v>
      </c>
      <c r="J27" s="47">
        <f t="shared" si="4"/>
        <v>126.95576969999999</v>
      </c>
    </row>
    <row r="28" spans="1:11" x14ac:dyDescent="0.25">
      <c r="A28" s="30">
        <v>10</v>
      </c>
      <c r="B28" s="39" t="s">
        <v>5</v>
      </c>
      <c r="C28" s="45">
        <f>(18.5%*1.1*1.03)</f>
        <v>0.20960500000000001</v>
      </c>
      <c r="D28" s="45">
        <f>(18.5%*1.12*1.03)</f>
        <v>0.21341600000000002</v>
      </c>
      <c r="E28" s="45">
        <f>(18.5%*1.12*1.03)</f>
        <v>0.21341600000000002</v>
      </c>
      <c r="F28" s="46">
        <f>(18.5%*1.12*1.03)</f>
        <v>0.21341600000000002</v>
      </c>
      <c r="G28" s="46">
        <f>(18.5%*1.12*1.04)</f>
        <v>0.21548800000000004</v>
      </c>
      <c r="H28" s="46">
        <f>(15%*1.12*1.04)</f>
        <v>0.17472000000000001</v>
      </c>
      <c r="I28" s="46">
        <f>(15%*1.12*1.04)</f>
        <v>0.17472000000000001</v>
      </c>
      <c r="J28" s="46">
        <f>(15%*1.12*1.04)</f>
        <v>0.17472000000000001</v>
      </c>
    </row>
    <row r="29" spans="1:11" x14ac:dyDescent="0.25">
      <c r="A29" s="30">
        <v>11</v>
      </c>
      <c r="B29" s="39" t="s">
        <v>71</v>
      </c>
      <c r="C29" s="32">
        <f t="shared" ref="C29:J29" si="5">C27*C28</f>
        <v>24.883371621080499</v>
      </c>
      <c r="D29" s="32">
        <f t="shared" si="5"/>
        <v>24.958436074432001</v>
      </c>
      <c r="E29" s="32">
        <f t="shared" si="5"/>
        <v>39.119588296689606</v>
      </c>
      <c r="F29" s="32">
        <f t="shared" si="5"/>
        <v>41.826555176044806</v>
      </c>
      <c r="G29" s="32">
        <f t="shared" si="5"/>
        <v>39.705670322572814</v>
      </c>
      <c r="H29" s="32">
        <f t="shared" si="5"/>
        <v>24.318467357184002</v>
      </c>
      <c r="I29" s="32">
        <f t="shared" si="5"/>
        <v>29.295574386624001</v>
      </c>
      <c r="J29" s="49">
        <f t="shared" si="5"/>
        <v>22.181712081983999</v>
      </c>
    </row>
    <row r="30" spans="1:11" x14ac:dyDescent="0.25">
      <c r="A30" s="30"/>
      <c r="B30" s="39"/>
      <c r="C30" s="39"/>
      <c r="D30" s="39"/>
      <c r="E30" s="39"/>
      <c r="F30" s="33"/>
      <c r="G30" s="33"/>
      <c r="H30" s="33"/>
      <c r="I30" s="41"/>
      <c r="J30" s="42"/>
    </row>
    <row r="31" spans="1:11" ht="45" x14ac:dyDescent="0.25">
      <c r="A31" s="30"/>
      <c r="B31" s="29" t="s">
        <v>14</v>
      </c>
      <c r="C31" s="29"/>
      <c r="D31" s="29"/>
      <c r="E31" s="39"/>
      <c r="F31" s="32"/>
      <c r="G31" s="32"/>
      <c r="H31" s="32"/>
      <c r="I31" s="39"/>
      <c r="J31" s="39"/>
    </row>
    <row r="32" spans="1:11" x14ac:dyDescent="0.25">
      <c r="A32" s="30">
        <v>12</v>
      </c>
      <c r="B32" s="26" t="s">
        <v>122</v>
      </c>
      <c r="C32" s="43">
        <f t="shared" ref="C32:J32" si="6">C17</f>
        <v>118.71554409999999</v>
      </c>
      <c r="D32" s="43">
        <f t="shared" si="6"/>
        <v>116.947352</v>
      </c>
      <c r="E32" s="43">
        <f t="shared" si="6"/>
        <v>126.93644060000001</v>
      </c>
      <c r="F32" s="43">
        <f t="shared" si="6"/>
        <v>140.02501890000002</v>
      </c>
      <c r="G32" s="43">
        <f t="shared" si="6"/>
        <v>128.18045860000001</v>
      </c>
      <c r="H32" s="43">
        <f t="shared" si="6"/>
        <v>83.013880700000001</v>
      </c>
      <c r="I32" s="43">
        <f t="shared" si="6"/>
        <v>111.32076570000001</v>
      </c>
      <c r="J32" s="43">
        <f t="shared" si="6"/>
        <v>126.4184351</v>
      </c>
    </row>
    <row r="33" spans="1:10" x14ac:dyDescent="0.25">
      <c r="A33" s="30">
        <v>13</v>
      </c>
      <c r="B33" s="39" t="s">
        <v>123</v>
      </c>
      <c r="C33" s="32">
        <f t="shared" ref="C33:J33" si="7">C32*C28</f>
        <v>24.883371621080499</v>
      </c>
      <c r="D33" s="32">
        <f t="shared" si="7"/>
        <v>24.958436074432001</v>
      </c>
      <c r="E33" s="32">
        <f t="shared" si="7"/>
        <v>27.090267407089605</v>
      </c>
      <c r="F33" s="32">
        <f t="shared" si="7"/>
        <v>29.883579433562407</v>
      </c>
      <c r="G33" s="32">
        <f t="shared" si="7"/>
        <v>27.621350662796807</v>
      </c>
      <c r="H33" s="32">
        <f t="shared" si="7"/>
        <v>14.504185235904002</v>
      </c>
      <c r="I33" s="32">
        <f t="shared" si="7"/>
        <v>19.449964183104004</v>
      </c>
      <c r="J33" s="32">
        <f t="shared" si="7"/>
        <v>22.087828980672001</v>
      </c>
    </row>
    <row r="34" spans="1:10" x14ac:dyDescent="0.25">
      <c r="A34" s="30">
        <v>14</v>
      </c>
      <c r="B34" s="39" t="s">
        <v>124</v>
      </c>
      <c r="C34" s="32">
        <f t="shared" ref="C34:J34" si="8">C29-C33</f>
        <v>0</v>
      </c>
      <c r="D34" s="32">
        <f t="shared" si="8"/>
        <v>0</v>
      </c>
      <c r="E34" s="32">
        <f t="shared" si="8"/>
        <v>12.029320889600001</v>
      </c>
      <c r="F34" s="32">
        <f t="shared" si="8"/>
        <v>11.9429757424824</v>
      </c>
      <c r="G34" s="32">
        <f t="shared" si="8"/>
        <v>12.084319659776007</v>
      </c>
      <c r="H34" s="32">
        <f t="shared" si="8"/>
        <v>9.8142821212799998</v>
      </c>
      <c r="I34" s="32">
        <f t="shared" si="8"/>
        <v>9.8456102035199962</v>
      </c>
      <c r="J34" s="32">
        <f t="shared" si="8"/>
        <v>9.3883101311998729E-2</v>
      </c>
    </row>
    <row r="40" spans="1:10" x14ac:dyDescent="0.25">
      <c r="E40" s="1"/>
      <c r="F40" s="1"/>
      <c r="G40" s="1"/>
      <c r="H40" s="1"/>
      <c r="I40" s="1"/>
    </row>
    <row r="41" spans="1:10" x14ac:dyDescent="0.25">
      <c r="E41" s="1"/>
      <c r="F41" s="1"/>
      <c r="G41" s="1"/>
      <c r="H41" s="1"/>
      <c r="I41" s="1"/>
    </row>
    <row r="42" spans="1:10" x14ac:dyDescent="0.25">
      <c r="E42" s="1"/>
      <c r="F42" s="1"/>
      <c r="G42" s="1"/>
      <c r="H42" s="1"/>
      <c r="I42" s="1"/>
    </row>
    <row r="43" spans="1:10" x14ac:dyDescent="0.25">
      <c r="E43" s="1"/>
      <c r="F43" s="1"/>
      <c r="G43" s="1"/>
      <c r="H43" s="1"/>
      <c r="I43" s="1"/>
    </row>
  </sheetData>
  <mergeCells count="1">
    <mergeCell ref="A3:A4"/>
  </mergeCells>
  <pageMargins left="0.23622047244094491" right="0.23622047244094491"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workbookViewId="0">
      <pane xSplit="2" ySplit="4" topLeftCell="F43" activePane="bottomRight" state="frozen"/>
      <selection pane="topRight" activeCell="E1" sqref="E1"/>
      <selection pane="bottomLeft" activeCell="A5" sqref="A5"/>
      <selection pane="bottomRight" activeCell="K45" sqref="K45"/>
    </sheetView>
  </sheetViews>
  <sheetFormatPr defaultRowHeight="15" x14ac:dyDescent="0.25"/>
  <cols>
    <col min="1" max="1" width="3" bestFit="1" customWidth="1"/>
    <col min="2" max="2" width="82.85546875" customWidth="1"/>
    <col min="3" max="3" width="3.85546875" customWidth="1"/>
    <col min="4" max="5" width="13.7109375" bestFit="1" customWidth="1"/>
    <col min="6" max="6" width="15.7109375" bestFit="1" customWidth="1"/>
    <col min="7" max="9" width="13.7109375" bestFit="1" customWidth="1"/>
    <col min="10" max="10" width="16" bestFit="1" customWidth="1"/>
    <col min="11" max="11" width="13.7109375" bestFit="1" customWidth="1"/>
  </cols>
  <sheetData>
    <row r="1" spans="1:12" ht="30" x14ac:dyDescent="0.25">
      <c r="B1" s="5" t="s">
        <v>13</v>
      </c>
      <c r="C1" s="5"/>
      <c r="D1" s="2" t="s">
        <v>141</v>
      </c>
      <c r="E1" s="5"/>
    </row>
    <row r="3" spans="1:12" x14ac:dyDescent="0.25">
      <c r="L3" s="6"/>
    </row>
    <row r="4" spans="1:12" x14ac:dyDescent="0.25">
      <c r="B4" s="6" t="s">
        <v>58</v>
      </c>
      <c r="C4" s="6"/>
      <c r="D4" s="10" t="s">
        <v>84</v>
      </c>
      <c r="E4" s="10" t="s">
        <v>83</v>
      </c>
      <c r="F4" s="10" t="s">
        <v>11</v>
      </c>
      <c r="G4" s="10" t="s">
        <v>12</v>
      </c>
      <c r="H4" s="10" t="s">
        <v>10</v>
      </c>
      <c r="I4" s="10" t="s">
        <v>15</v>
      </c>
      <c r="J4" s="10" t="s">
        <v>16</v>
      </c>
      <c r="K4" s="10" t="s">
        <v>17</v>
      </c>
      <c r="L4" s="6"/>
    </row>
    <row r="5" spans="1:12" x14ac:dyDescent="0.25">
      <c r="B5" s="5" t="s">
        <v>18</v>
      </c>
      <c r="C5" s="5"/>
      <c r="D5" s="5"/>
      <c r="E5" s="5"/>
      <c r="F5" s="10"/>
      <c r="G5" s="10"/>
      <c r="H5" s="10"/>
      <c r="I5" s="10"/>
      <c r="J5" s="10"/>
      <c r="K5" s="10"/>
      <c r="L5" s="6"/>
    </row>
    <row r="6" spans="1:12" ht="30" x14ac:dyDescent="0.25">
      <c r="A6" s="14">
        <v>1</v>
      </c>
      <c r="B6" s="15" t="s">
        <v>72</v>
      </c>
      <c r="C6" s="15"/>
      <c r="D6" s="15" t="s">
        <v>8</v>
      </c>
      <c r="E6" s="15" t="s">
        <v>8</v>
      </c>
      <c r="F6" t="s">
        <v>8</v>
      </c>
      <c r="G6" s="9" t="s">
        <v>8</v>
      </c>
      <c r="H6" s="9" t="s">
        <v>8</v>
      </c>
      <c r="I6" s="9" t="s">
        <v>8</v>
      </c>
      <c r="J6" s="9" t="s">
        <v>8</v>
      </c>
      <c r="K6" t="str">
        <f>J6</f>
        <v>Yes</v>
      </c>
    </row>
    <row r="7" spans="1:12" ht="30" x14ac:dyDescent="0.25">
      <c r="A7" s="14">
        <v>2</v>
      </c>
      <c r="B7" s="15" t="s">
        <v>80</v>
      </c>
      <c r="C7" s="15"/>
      <c r="D7" s="15"/>
      <c r="E7" s="15"/>
      <c r="F7" s="10"/>
      <c r="G7" s="10"/>
      <c r="H7" s="10"/>
      <c r="I7" s="10"/>
      <c r="J7" s="10"/>
      <c r="K7" s="10"/>
    </row>
    <row r="8" spans="1:12" ht="60" x14ac:dyDescent="0.25">
      <c r="A8" s="14">
        <v>3</v>
      </c>
      <c r="B8" s="15" t="s">
        <v>73</v>
      </c>
      <c r="C8" s="15"/>
      <c r="D8" s="15" t="s">
        <v>8</v>
      </c>
      <c r="E8" s="15" t="s">
        <v>8</v>
      </c>
      <c r="F8" s="10" t="s">
        <v>8</v>
      </c>
      <c r="G8" s="10" t="s">
        <v>8</v>
      </c>
      <c r="H8" s="10" t="s">
        <v>8</v>
      </c>
      <c r="I8" s="10" t="s">
        <v>8</v>
      </c>
      <c r="J8" s="10" t="s">
        <v>8</v>
      </c>
      <c r="K8" s="10" t="str">
        <f>J8</f>
        <v>Yes</v>
      </c>
    </row>
    <row r="9" spans="1:12" x14ac:dyDescent="0.25">
      <c r="B9" s="2"/>
      <c r="C9" s="2"/>
      <c r="D9" s="2"/>
      <c r="E9" s="2"/>
      <c r="F9" s="10"/>
      <c r="G9" s="10"/>
      <c r="H9" s="10"/>
      <c r="I9" s="10"/>
      <c r="J9" s="10"/>
      <c r="K9" s="10"/>
    </row>
    <row r="10" spans="1:12" x14ac:dyDescent="0.25">
      <c r="A10">
        <v>4</v>
      </c>
      <c r="B10" s="2" t="s">
        <v>59</v>
      </c>
      <c r="C10" s="2">
        <v>4</v>
      </c>
      <c r="D10" s="1">
        <v>1121136822</v>
      </c>
      <c r="E10" s="1">
        <v>1089610902</v>
      </c>
      <c r="F10" s="1">
        <v>1957788701</v>
      </c>
      <c r="G10" s="3">
        <v>1387723937</v>
      </c>
      <c r="H10" s="1">
        <v>1125747543</v>
      </c>
      <c r="I10" s="1">
        <v>1211411927</v>
      </c>
      <c r="J10" s="1">
        <v>1020119102</v>
      </c>
      <c r="K10" s="17">
        <v>913909027</v>
      </c>
    </row>
    <row r="11" spans="1:12" x14ac:dyDescent="0.25">
      <c r="A11">
        <v>5</v>
      </c>
      <c r="B11" s="5" t="s">
        <v>19</v>
      </c>
      <c r="C11" s="5">
        <v>5</v>
      </c>
      <c r="D11" s="5"/>
      <c r="E11" s="5"/>
      <c r="F11" s="9"/>
      <c r="G11" s="3"/>
      <c r="H11" s="4"/>
      <c r="I11" s="4"/>
      <c r="J11" s="4"/>
      <c r="K11" s="4"/>
    </row>
    <row r="12" spans="1:12" ht="30" x14ac:dyDescent="0.25">
      <c r="A12" t="s">
        <v>44</v>
      </c>
      <c r="B12" s="2" t="s">
        <v>21</v>
      </c>
      <c r="C12" s="2" t="s">
        <v>86</v>
      </c>
      <c r="D12" s="1">
        <v>65936590</v>
      </c>
      <c r="E12" s="1">
        <v>79862618</v>
      </c>
      <c r="F12" s="1">
        <v>392415722</v>
      </c>
      <c r="G12" s="3">
        <v>0</v>
      </c>
      <c r="H12" s="1">
        <v>156057043</v>
      </c>
      <c r="I12" s="3">
        <v>0</v>
      </c>
      <c r="J12" s="1">
        <v>93088555</v>
      </c>
      <c r="K12" s="1">
        <v>348795000</v>
      </c>
    </row>
    <row r="13" spans="1:12" x14ac:dyDescent="0.25">
      <c r="A13" t="s">
        <v>52</v>
      </c>
      <c r="B13" s="2" t="s">
        <v>22</v>
      </c>
      <c r="C13" s="2" t="s">
        <v>87</v>
      </c>
      <c r="D13" s="2"/>
      <c r="E13" s="3">
        <v>0</v>
      </c>
      <c r="F13" s="3">
        <v>0</v>
      </c>
      <c r="G13" s="3">
        <v>0</v>
      </c>
      <c r="H13" s="3">
        <v>0</v>
      </c>
      <c r="I13" s="3">
        <v>0</v>
      </c>
      <c r="J13" s="3">
        <v>0</v>
      </c>
      <c r="K13" s="3">
        <v>0</v>
      </c>
    </row>
    <row r="14" spans="1:12" x14ac:dyDescent="0.25">
      <c r="A14" t="s">
        <v>53</v>
      </c>
      <c r="B14" s="2" t="s">
        <v>23</v>
      </c>
      <c r="C14" s="2" t="s">
        <v>88</v>
      </c>
      <c r="D14" s="2"/>
      <c r="E14" s="3">
        <v>0</v>
      </c>
      <c r="F14" s="3">
        <v>0</v>
      </c>
      <c r="G14" s="3">
        <v>0</v>
      </c>
      <c r="H14" s="3">
        <v>0</v>
      </c>
      <c r="I14" s="3">
        <v>0</v>
      </c>
      <c r="J14" s="3">
        <v>0</v>
      </c>
      <c r="K14" s="16">
        <v>305324</v>
      </c>
    </row>
    <row r="15" spans="1:12" x14ac:dyDescent="0.25">
      <c r="A15" t="s">
        <v>49</v>
      </c>
      <c r="B15" s="2" t="s">
        <v>24</v>
      </c>
      <c r="C15" s="2" t="s">
        <v>89</v>
      </c>
      <c r="D15" s="2"/>
      <c r="E15" s="3">
        <v>0</v>
      </c>
      <c r="F15" s="3">
        <v>0</v>
      </c>
      <c r="G15" s="3">
        <v>0</v>
      </c>
      <c r="H15" s="3">
        <v>0</v>
      </c>
      <c r="I15" s="3">
        <v>0</v>
      </c>
      <c r="J15" s="3">
        <v>0</v>
      </c>
      <c r="K15" s="3">
        <v>0</v>
      </c>
    </row>
    <row r="16" spans="1:12" x14ac:dyDescent="0.25">
      <c r="A16" t="s">
        <v>46</v>
      </c>
      <c r="B16" s="2" t="s">
        <v>25</v>
      </c>
      <c r="C16" s="2" t="s">
        <v>90</v>
      </c>
      <c r="D16" s="2"/>
      <c r="E16" s="3">
        <v>0</v>
      </c>
      <c r="F16" s="3">
        <v>0</v>
      </c>
      <c r="G16" s="3">
        <v>0</v>
      </c>
      <c r="H16" s="3">
        <v>0</v>
      </c>
      <c r="I16" s="3">
        <v>0</v>
      </c>
      <c r="J16" s="3">
        <v>0</v>
      </c>
      <c r="K16" s="3">
        <v>0</v>
      </c>
    </row>
    <row r="17" spans="1:12" ht="30" x14ac:dyDescent="0.25">
      <c r="A17" t="s">
        <v>47</v>
      </c>
      <c r="B17" s="2" t="s">
        <v>26</v>
      </c>
      <c r="C17" s="2" t="s">
        <v>91</v>
      </c>
      <c r="D17" s="2"/>
      <c r="E17" s="3">
        <v>0</v>
      </c>
      <c r="F17" s="3">
        <v>0</v>
      </c>
      <c r="G17" s="3">
        <v>0</v>
      </c>
      <c r="H17" s="3">
        <v>0</v>
      </c>
      <c r="I17" s="3">
        <v>0</v>
      </c>
      <c r="J17" s="3">
        <v>0</v>
      </c>
      <c r="K17" s="3">
        <v>0</v>
      </c>
    </row>
    <row r="18" spans="1:12" ht="30" x14ac:dyDescent="0.25">
      <c r="A18" t="s">
        <v>54</v>
      </c>
      <c r="B18" s="2" t="s">
        <v>27</v>
      </c>
      <c r="C18" s="2" t="s">
        <v>92</v>
      </c>
      <c r="D18" s="2"/>
      <c r="E18" s="3">
        <v>0</v>
      </c>
      <c r="F18" s="3">
        <v>0</v>
      </c>
      <c r="G18" s="3">
        <v>0</v>
      </c>
      <c r="H18" s="3">
        <v>0</v>
      </c>
      <c r="I18" s="3">
        <v>0</v>
      </c>
      <c r="J18" s="3">
        <v>0</v>
      </c>
      <c r="K18" s="3">
        <v>0</v>
      </c>
    </row>
    <row r="19" spans="1:12" ht="30" x14ac:dyDescent="0.25">
      <c r="A19" t="s">
        <v>51</v>
      </c>
      <c r="B19" s="2" t="s">
        <v>28</v>
      </c>
      <c r="C19" s="2" t="s">
        <v>93</v>
      </c>
      <c r="D19" s="2"/>
      <c r="E19" s="3">
        <v>0</v>
      </c>
      <c r="F19" s="3">
        <v>0</v>
      </c>
      <c r="G19" s="3">
        <v>0</v>
      </c>
      <c r="H19" s="3">
        <v>0</v>
      </c>
      <c r="I19" s="3">
        <v>0</v>
      </c>
      <c r="J19" s="3">
        <v>0</v>
      </c>
      <c r="K19" s="3">
        <v>0</v>
      </c>
    </row>
    <row r="20" spans="1:12" ht="30" x14ac:dyDescent="0.25">
      <c r="A20" t="s">
        <v>55</v>
      </c>
      <c r="B20" s="2" t="s">
        <v>29</v>
      </c>
      <c r="C20" s="2" t="s">
        <v>94</v>
      </c>
      <c r="D20" s="2"/>
      <c r="E20" s="3">
        <v>0</v>
      </c>
      <c r="F20" s="3">
        <v>0</v>
      </c>
      <c r="G20" s="3">
        <v>0</v>
      </c>
      <c r="H20" s="3">
        <v>0</v>
      </c>
      <c r="I20" s="3">
        <v>0</v>
      </c>
      <c r="J20" s="3">
        <v>0</v>
      </c>
      <c r="K20" s="3">
        <v>0</v>
      </c>
    </row>
    <row r="21" spans="1:12" ht="30" x14ac:dyDescent="0.25">
      <c r="A21" t="s">
        <v>56</v>
      </c>
      <c r="B21" s="2" t="s">
        <v>30</v>
      </c>
      <c r="C21" s="2" t="s">
        <v>95</v>
      </c>
      <c r="D21" s="2"/>
      <c r="E21" s="3">
        <v>0</v>
      </c>
      <c r="F21" s="3">
        <v>0</v>
      </c>
      <c r="G21" s="3">
        <v>0</v>
      </c>
      <c r="H21" s="3">
        <v>0</v>
      </c>
      <c r="I21" s="3">
        <v>0</v>
      </c>
      <c r="J21" s="3">
        <v>0</v>
      </c>
      <c r="K21" s="3">
        <v>0</v>
      </c>
    </row>
    <row r="22" spans="1:12" x14ac:dyDescent="0.25">
      <c r="A22" t="s">
        <v>48</v>
      </c>
      <c r="B22" s="2" t="s">
        <v>31</v>
      </c>
      <c r="C22" s="2" t="s">
        <v>96</v>
      </c>
      <c r="D22" s="1">
        <v>816287840</v>
      </c>
      <c r="E22" s="3">
        <v>0</v>
      </c>
      <c r="F22" s="3">
        <v>0</v>
      </c>
      <c r="G22" s="3">
        <v>0</v>
      </c>
      <c r="H22" s="3">
        <v>0</v>
      </c>
      <c r="I22" s="3">
        <v>0</v>
      </c>
      <c r="J22" s="3">
        <v>0</v>
      </c>
      <c r="K22" s="3">
        <v>0</v>
      </c>
    </row>
    <row r="23" spans="1:12" x14ac:dyDescent="0.25">
      <c r="A23" t="s">
        <v>57</v>
      </c>
      <c r="B23" s="2" t="s">
        <v>32</v>
      </c>
      <c r="C23" s="2" t="s">
        <v>97</v>
      </c>
      <c r="D23" s="2"/>
      <c r="E23" s="3">
        <v>0</v>
      </c>
      <c r="F23" s="3">
        <v>0</v>
      </c>
      <c r="G23" s="3">
        <v>0</v>
      </c>
      <c r="H23" s="3">
        <v>0</v>
      </c>
      <c r="I23" s="3">
        <v>0</v>
      </c>
      <c r="J23" s="3">
        <v>0</v>
      </c>
      <c r="K23" s="3">
        <v>0</v>
      </c>
    </row>
    <row r="24" spans="1:12" ht="30" x14ac:dyDescent="0.25">
      <c r="A24" t="s">
        <v>45</v>
      </c>
      <c r="B24" s="2" t="s">
        <v>81</v>
      </c>
      <c r="C24" s="2" t="s">
        <v>98</v>
      </c>
      <c r="D24" s="1">
        <v>82029</v>
      </c>
      <c r="E24" s="1">
        <v>819661405</v>
      </c>
      <c r="F24" s="22">
        <v>0</v>
      </c>
      <c r="G24" s="3">
        <v>12526252</v>
      </c>
      <c r="H24" s="3">
        <v>0</v>
      </c>
      <c r="I24" s="3">
        <v>0</v>
      </c>
      <c r="J24" s="3">
        <v>0</v>
      </c>
      <c r="K24" s="16">
        <v>1175000</v>
      </c>
    </row>
    <row r="25" spans="1:12" x14ac:dyDescent="0.25">
      <c r="A25" t="s">
        <v>50</v>
      </c>
      <c r="B25" s="6" t="s">
        <v>74</v>
      </c>
      <c r="C25" s="2" t="s">
        <v>110</v>
      </c>
      <c r="D25" s="11">
        <f t="shared" ref="D25:K25" si="0">SUM(D12:D24)</f>
        <v>882306459</v>
      </c>
      <c r="E25" s="11">
        <f t="shared" si="0"/>
        <v>899524023</v>
      </c>
      <c r="F25" s="11">
        <f t="shared" si="0"/>
        <v>392415722</v>
      </c>
      <c r="G25" s="11">
        <f t="shared" si="0"/>
        <v>12526252</v>
      </c>
      <c r="H25" s="11">
        <f t="shared" si="0"/>
        <v>156057043</v>
      </c>
      <c r="I25" s="11">
        <f t="shared" si="0"/>
        <v>0</v>
      </c>
      <c r="J25" s="11">
        <f t="shared" si="0"/>
        <v>93088555</v>
      </c>
      <c r="K25" s="11">
        <f t="shared" si="0"/>
        <v>350275324</v>
      </c>
      <c r="L25" s="11">
        <f>K25/10^7</f>
        <v>35.027532399999998</v>
      </c>
    </row>
    <row r="26" spans="1:12" ht="30" x14ac:dyDescent="0.25">
      <c r="B26" s="2" t="s">
        <v>82</v>
      </c>
      <c r="C26" s="2"/>
      <c r="D26" s="2"/>
      <c r="E26" s="2"/>
      <c r="F26" s="9"/>
      <c r="G26" s="4"/>
      <c r="H26" s="4"/>
      <c r="I26" s="4"/>
      <c r="J26" s="4"/>
      <c r="K26" s="4"/>
    </row>
    <row r="27" spans="1:12" x14ac:dyDescent="0.25">
      <c r="A27">
        <v>6</v>
      </c>
      <c r="B27" s="6" t="s">
        <v>20</v>
      </c>
      <c r="C27" s="6"/>
      <c r="D27" s="6"/>
      <c r="E27" s="6"/>
      <c r="F27" s="9"/>
      <c r="G27" s="4"/>
      <c r="H27" s="4"/>
      <c r="I27" s="4"/>
      <c r="J27" s="4"/>
      <c r="K27" s="4"/>
    </row>
    <row r="28" spans="1:12" x14ac:dyDescent="0.25">
      <c r="A28" t="s">
        <v>44</v>
      </c>
      <c r="B28" s="2" t="s">
        <v>33</v>
      </c>
      <c r="C28" s="2" t="s">
        <v>99</v>
      </c>
      <c r="D28" s="2"/>
      <c r="E28" s="3">
        <v>0</v>
      </c>
      <c r="F28" s="3">
        <v>0</v>
      </c>
      <c r="G28" s="3">
        <v>0</v>
      </c>
      <c r="H28" s="3">
        <v>0</v>
      </c>
      <c r="I28" s="3">
        <v>0</v>
      </c>
      <c r="J28" s="3">
        <v>0</v>
      </c>
      <c r="K28" s="3">
        <v>0</v>
      </c>
    </row>
    <row r="29" spans="1:12" ht="30" x14ac:dyDescent="0.25">
      <c r="A29" t="s">
        <v>52</v>
      </c>
      <c r="B29" s="2" t="s">
        <v>34</v>
      </c>
      <c r="C29" s="2" t="s">
        <v>100</v>
      </c>
      <c r="D29" s="2"/>
      <c r="E29" s="3">
        <v>0</v>
      </c>
      <c r="F29" s="3">
        <v>0</v>
      </c>
      <c r="G29" s="3">
        <v>0</v>
      </c>
      <c r="H29" s="3">
        <v>0</v>
      </c>
      <c r="I29" s="3">
        <v>0</v>
      </c>
      <c r="J29" s="3">
        <v>0</v>
      </c>
      <c r="K29" s="3">
        <v>0</v>
      </c>
    </row>
    <row r="30" spans="1:12" ht="30" x14ac:dyDescent="0.25">
      <c r="A30" t="s">
        <v>53</v>
      </c>
      <c r="B30" s="2" t="s">
        <v>35</v>
      </c>
      <c r="C30" s="2" t="s">
        <v>101</v>
      </c>
      <c r="D30" s="2"/>
      <c r="E30" s="3">
        <v>0</v>
      </c>
      <c r="F30" s="3">
        <v>0</v>
      </c>
      <c r="G30" s="3">
        <v>0</v>
      </c>
      <c r="H30" s="3">
        <v>0</v>
      </c>
      <c r="I30" s="3">
        <v>0</v>
      </c>
      <c r="J30" s="3">
        <v>0</v>
      </c>
      <c r="K30" s="3">
        <v>0</v>
      </c>
    </row>
    <row r="31" spans="1:12" ht="30" x14ac:dyDescent="0.25">
      <c r="A31" t="s">
        <v>49</v>
      </c>
      <c r="B31" s="2" t="s">
        <v>36</v>
      </c>
      <c r="C31" s="2" t="s">
        <v>102</v>
      </c>
      <c r="D31" s="2"/>
      <c r="E31" s="3">
        <v>0</v>
      </c>
      <c r="F31" s="3">
        <v>0</v>
      </c>
      <c r="G31" s="3">
        <v>0</v>
      </c>
      <c r="H31" s="3">
        <v>0</v>
      </c>
      <c r="I31" s="3">
        <v>0</v>
      </c>
      <c r="J31" s="3">
        <v>0</v>
      </c>
      <c r="K31" s="3">
        <v>0</v>
      </c>
    </row>
    <row r="32" spans="1:12" x14ac:dyDescent="0.25">
      <c r="A32" t="s">
        <v>46</v>
      </c>
      <c r="B32" t="s">
        <v>37</v>
      </c>
      <c r="C32" s="2" t="s">
        <v>103</v>
      </c>
      <c r="E32" s="3">
        <v>0</v>
      </c>
      <c r="F32" s="3">
        <v>0</v>
      </c>
      <c r="G32" s="3">
        <v>0</v>
      </c>
      <c r="H32" s="3">
        <v>0</v>
      </c>
      <c r="I32" s="3">
        <v>0</v>
      </c>
      <c r="J32" s="3">
        <v>0</v>
      </c>
      <c r="K32" s="3">
        <v>0</v>
      </c>
    </row>
    <row r="33" spans="1:12" ht="30" x14ac:dyDescent="0.25">
      <c r="A33" t="s">
        <v>47</v>
      </c>
      <c r="B33" s="2" t="s">
        <v>38</v>
      </c>
      <c r="C33" s="2" t="s">
        <v>104</v>
      </c>
      <c r="D33" s="2"/>
      <c r="E33" s="3">
        <v>0</v>
      </c>
      <c r="F33" s="3">
        <v>0</v>
      </c>
      <c r="G33" s="3">
        <v>0</v>
      </c>
      <c r="H33" s="3">
        <v>0</v>
      </c>
      <c r="I33" s="3">
        <v>0</v>
      </c>
      <c r="J33" s="3">
        <v>0</v>
      </c>
      <c r="K33" s="3">
        <v>0</v>
      </c>
    </row>
    <row r="34" spans="1:12" x14ac:dyDescent="0.25">
      <c r="A34" t="s">
        <v>54</v>
      </c>
      <c r="B34" s="2" t="s">
        <v>39</v>
      </c>
      <c r="C34" s="2" t="s">
        <v>105</v>
      </c>
      <c r="D34" s="2"/>
      <c r="E34" s="3">
        <v>0</v>
      </c>
      <c r="F34" s="3">
        <v>0</v>
      </c>
      <c r="G34" s="3">
        <v>0</v>
      </c>
      <c r="H34" s="3">
        <v>0</v>
      </c>
      <c r="I34" s="3">
        <v>0</v>
      </c>
      <c r="J34" s="3">
        <v>0</v>
      </c>
      <c r="K34" s="3">
        <v>0</v>
      </c>
    </row>
    <row r="35" spans="1:12" x14ac:dyDescent="0.25">
      <c r="A35" t="s">
        <v>51</v>
      </c>
      <c r="B35" s="2" t="s">
        <v>40</v>
      </c>
      <c r="C35" s="2" t="s">
        <v>106</v>
      </c>
      <c r="D35" s="2"/>
      <c r="E35" s="3">
        <v>0</v>
      </c>
      <c r="F35" s="3">
        <v>0</v>
      </c>
      <c r="G35" s="3">
        <v>0</v>
      </c>
      <c r="H35" s="3">
        <v>0</v>
      </c>
      <c r="I35" s="3">
        <v>0</v>
      </c>
      <c r="J35" s="3">
        <v>0</v>
      </c>
      <c r="K35" s="3">
        <v>0</v>
      </c>
    </row>
    <row r="36" spans="1:12" x14ac:dyDescent="0.25">
      <c r="A36" t="s">
        <v>55</v>
      </c>
      <c r="B36" s="2" t="s">
        <v>41</v>
      </c>
      <c r="C36" s="2" t="s">
        <v>107</v>
      </c>
      <c r="D36" s="2"/>
      <c r="E36" s="3">
        <v>0</v>
      </c>
      <c r="F36" s="3">
        <v>0</v>
      </c>
      <c r="G36" s="3">
        <v>0</v>
      </c>
      <c r="H36" s="3">
        <v>0</v>
      </c>
      <c r="I36" s="3">
        <v>0</v>
      </c>
      <c r="J36" s="3">
        <v>0</v>
      </c>
      <c r="K36" s="3">
        <v>0</v>
      </c>
    </row>
    <row r="37" spans="1:12" x14ac:dyDescent="0.25">
      <c r="A37" t="s">
        <v>56</v>
      </c>
      <c r="B37" s="2" t="s">
        <v>42</v>
      </c>
      <c r="C37" s="2" t="s">
        <v>108</v>
      </c>
      <c r="D37" s="2"/>
      <c r="E37" s="3">
        <v>0</v>
      </c>
      <c r="F37" s="3">
        <v>0</v>
      </c>
      <c r="G37" s="3">
        <v>0</v>
      </c>
      <c r="H37" s="3">
        <v>0</v>
      </c>
      <c r="I37" s="3">
        <v>0</v>
      </c>
      <c r="J37" s="3">
        <v>0</v>
      </c>
      <c r="K37" s="3">
        <v>0</v>
      </c>
    </row>
    <row r="38" spans="1:12" ht="30" x14ac:dyDescent="0.25">
      <c r="A38" t="s">
        <v>48</v>
      </c>
      <c r="B38" s="2" t="s">
        <v>43</v>
      </c>
      <c r="C38" s="2" t="s">
        <v>109</v>
      </c>
      <c r="D38" s="1">
        <v>816287840</v>
      </c>
      <c r="E38" s="1">
        <v>819661405</v>
      </c>
      <c r="F38" s="1">
        <v>1080840017</v>
      </c>
      <c r="G38" s="3">
        <v>0</v>
      </c>
      <c r="H38" s="3">
        <v>0</v>
      </c>
      <c r="I38" s="1">
        <v>381273120</v>
      </c>
      <c r="J38" s="3">
        <v>0</v>
      </c>
      <c r="K38" s="3">
        <v>0</v>
      </c>
    </row>
    <row r="39" spans="1:12" x14ac:dyDescent="0.25">
      <c r="A39" s="6" t="s">
        <v>57</v>
      </c>
      <c r="B39" s="5" t="s">
        <v>75</v>
      </c>
      <c r="C39" s="5" t="s">
        <v>111</v>
      </c>
      <c r="D39" s="11">
        <f t="shared" ref="D39:K39" si="1">SUM(D28:D38)</f>
        <v>816287840</v>
      </c>
      <c r="E39" s="11">
        <f t="shared" si="1"/>
        <v>819661405</v>
      </c>
      <c r="F39" s="11">
        <f t="shared" si="1"/>
        <v>1080840017</v>
      </c>
      <c r="G39" s="11">
        <f t="shared" si="1"/>
        <v>0</v>
      </c>
      <c r="H39" s="11">
        <f t="shared" si="1"/>
        <v>0</v>
      </c>
      <c r="I39" s="11">
        <f t="shared" si="1"/>
        <v>381273120</v>
      </c>
      <c r="J39" s="11">
        <f t="shared" si="1"/>
        <v>0</v>
      </c>
      <c r="K39" s="11">
        <f t="shared" si="1"/>
        <v>0</v>
      </c>
      <c r="L39" s="6"/>
    </row>
    <row r="40" spans="1:12" x14ac:dyDescent="0.25">
      <c r="B40" s="5"/>
      <c r="C40" s="5"/>
      <c r="D40" s="5"/>
      <c r="E40" s="5"/>
      <c r="G40" s="4"/>
      <c r="H40" s="4"/>
      <c r="I40" s="4"/>
      <c r="J40" s="4"/>
      <c r="K40" s="4"/>
    </row>
    <row r="41" spans="1:12" x14ac:dyDescent="0.25">
      <c r="A41">
        <v>7</v>
      </c>
      <c r="B41" t="s">
        <v>76</v>
      </c>
      <c r="C41">
        <v>7</v>
      </c>
      <c r="D41" s="3">
        <f>D10+D25-D39</f>
        <v>1187155441</v>
      </c>
      <c r="E41" s="3">
        <f>E10+E25-E39</f>
        <v>1169473520</v>
      </c>
      <c r="F41" s="3">
        <f>F10+F25-F39</f>
        <v>1269364406</v>
      </c>
      <c r="G41" s="3">
        <f>G10+G25-G39</f>
        <v>1400250189</v>
      </c>
      <c r="H41" s="3">
        <v>1281804586</v>
      </c>
      <c r="I41" s="3">
        <v>830138807</v>
      </c>
      <c r="J41" s="12">
        <v>1113207657</v>
      </c>
      <c r="K41" s="13">
        <v>1264184351</v>
      </c>
    </row>
    <row r="42" spans="1:12" ht="60" x14ac:dyDescent="0.25">
      <c r="A42">
        <v>8</v>
      </c>
      <c r="B42" s="2" t="s">
        <v>60</v>
      </c>
      <c r="C42" s="2">
        <v>8</v>
      </c>
      <c r="D42" s="24" t="s">
        <v>85</v>
      </c>
      <c r="E42" s="24" t="s">
        <v>85</v>
      </c>
      <c r="F42" s="21" t="s">
        <v>8</v>
      </c>
      <c r="G42" s="3" t="s">
        <v>8</v>
      </c>
      <c r="H42" s="3" t="s">
        <v>8</v>
      </c>
      <c r="I42" s="3" t="s">
        <v>8</v>
      </c>
      <c r="J42" s="12" t="s">
        <v>8</v>
      </c>
      <c r="K42" s="13" t="s">
        <v>8</v>
      </c>
    </row>
    <row r="43" spans="1:12" x14ac:dyDescent="0.25">
      <c r="F43" s="18"/>
      <c r="G43" s="3"/>
      <c r="H43" s="3"/>
      <c r="I43" s="3"/>
      <c r="J43" s="12"/>
      <c r="K43" s="13"/>
    </row>
    <row r="44" spans="1:12" x14ac:dyDescent="0.25">
      <c r="B44" s="6" t="s">
        <v>61</v>
      </c>
      <c r="C44" s="6"/>
      <c r="D44" s="6"/>
      <c r="E44" s="6"/>
      <c r="F44" s="18"/>
      <c r="G44" s="3"/>
      <c r="H44" s="3"/>
      <c r="I44" s="3"/>
      <c r="J44" s="12"/>
      <c r="K44" s="13"/>
    </row>
    <row r="45" spans="1:12" ht="32.25" customHeight="1" x14ac:dyDescent="0.25">
      <c r="B45" s="2" t="s">
        <v>62</v>
      </c>
      <c r="C45" s="2" t="s">
        <v>112</v>
      </c>
      <c r="D45" s="23">
        <v>0</v>
      </c>
      <c r="E45" s="23">
        <v>0</v>
      </c>
      <c r="F45" s="20">
        <v>0</v>
      </c>
      <c r="G45" s="3">
        <v>0</v>
      </c>
      <c r="H45" s="3">
        <v>0</v>
      </c>
      <c r="I45" s="3">
        <v>0</v>
      </c>
      <c r="J45" s="16">
        <v>1454091</v>
      </c>
      <c r="K45" s="16">
        <v>5373346</v>
      </c>
    </row>
    <row r="46" spans="1:12" ht="30" x14ac:dyDescent="0.25">
      <c r="B46" s="2" t="s">
        <v>63</v>
      </c>
      <c r="C46" s="2" t="s">
        <v>113</v>
      </c>
      <c r="D46" s="23">
        <v>0</v>
      </c>
      <c r="E46" s="23">
        <v>0</v>
      </c>
      <c r="F46" s="20">
        <v>0</v>
      </c>
      <c r="G46" s="3">
        <v>0</v>
      </c>
      <c r="H46" s="3">
        <v>0</v>
      </c>
      <c r="I46" s="3">
        <v>0</v>
      </c>
      <c r="J46" s="12">
        <v>0</v>
      </c>
      <c r="K46" s="12">
        <v>0</v>
      </c>
    </row>
    <row r="47" spans="1:12" x14ac:dyDescent="0.25">
      <c r="B47" s="2" t="s">
        <v>64</v>
      </c>
      <c r="C47" s="2" t="s">
        <v>114</v>
      </c>
      <c r="D47" s="23">
        <v>0</v>
      </c>
      <c r="E47" s="23">
        <v>0</v>
      </c>
      <c r="F47" s="20">
        <v>563656000</v>
      </c>
      <c r="G47" s="1">
        <v>561891000</v>
      </c>
      <c r="H47" s="1">
        <v>561875219</v>
      </c>
      <c r="I47" s="1">
        <v>561875219</v>
      </c>
      <c r="J47" s="1">
        <v>562053819</v>
      </c>
      <c r="K47" s="12">
        <v>0</v>
      </c>
    </row>
    <row r="48" spans="1:12" x14ac:dyDescent="0.25">
      <c r="B48" s="2" t="s">
        <v>65</v>
      </c>
      <c r="C48" s="2" t="s">
        <v>115</v>
      </c>
      <c r="D48" s="23">
        <v>0</v>
      </c>
      <c r="E48" s="23">
        <v>0</v>
      </c>
      <c r="F48" s="20">
        <v>0</v>
      </c>
      <c r="G48" s="3">
        <v>0</v>
      </c>
      <c r="H48" s="3">
        <v>0</v>
      </c>
      <c r="I48" s="3">
        <v>0</v>
      </c>
      <c r="J48" s="12">
        <v>0</v>
      </c>
      <c r="K48" s="12">
        <v>0</v>
      </c>
    </row>
    <row r="49" spans="1:11" x14ac:dyDescent="0.25">
      <c r="B49" s="2" t="s">
        <v>77</v>
      </c>
      <c r="C49" s="2" t="s">
        <v>116</v>
      </c>
      <c r="D49" s="7">
        <f t="shared" ref="D49:I49" si="2">SUM(D45:D48)</f>
        <v>0</v>
      </c>
      <c r="E49" s="7">
        <f t="shared" si="2"/>
        <v>0</v>
      </c>
      <c r="F49" s="20">
        <f t="shared" si="2"/>
        <v>563656000</v>
      </c>
      <c r="G49" s="3">
        <f t="shared" si="2"/>
        <v>561891000</v>
      </c>
      <c r="H49" s="3">
        <f t="shared" si="2"/>
        <v>561875219</v>
      </c>
      <c r="I49" s="3">
        <f t="shared" si="2"/>
        <v>561875219</v>
      </c>
      <c r="J49" s="3">
        <f>SUM(J45:J48)</f>
        <v>563507910</v>
      </c>
      <c r="K49" s="3">
        <f>SUM(K45:K48)</f>
        <v>5373346</v>
      </c>
    </row>
    <row r="50" spans="1:11" x14ac:dyDescent="0.25">
      <c r="F50" s="18"/>
      <c r="G50" s="3"/>
      <c r="H50" s="3"/>
      <c r="I50" s="3"/>
      <c r="J50" s="12"/>
      <c r="K50" s="13"/>
    </row>
    <row r="51" spans="1:11" x14ac:dyDescent="0.25">
      <c r="B51" s="6" t="s">
        <v>66</v>
      </c>
      <c r="C51" s="6"/>
      <c r="D51" s="6"/>
      <c r="E51" s="6"/>
      <c r="F51" s="18"/>
      <c r="G51" s="3"/>
      <c r="H51" s="3"/>
      <c r="I51" s="3"/>
      <c r="J51" s="12"/>
      <c r="K51" s="13"/>
    </row>
    <row r="52" spans="1:11" ht="30" x14ac:dyDescent="0.25">
      <c r="B52" s="2" t="s">
        <v>67</v>
      </c>
      <c r="C52" s="2" t="s">
        <v>117</v>
      </c>
      <c r="D52" s="23">
        <v>0</v>
      </c>
      <c r="E52" s="23">
        <v>0</v>
      </c>
      <c r="F52" s="20">
        <v>0</v>
      </c>
      <c r="G52" s="1">
        <v>2265080</v>
      </c>
      <c r="H52" s="1">
        <v>1086699</v>
      </c>
      <c r="I52" s="1">
        <v>160354</v>
      </c>
      <c r="J52" s="12">
        <v>0</v>
      </c>
      <c r="K52" s="12">
        <v>0</v>
      </c>
    </row>
    <row r="53" spans="1:11" ht="30" x14ac:dyDescent="0.25">
      <c r="B53" s="2" t="s">
        <v>68</v>
      </c>
      <c r="C53" s="2" t="s">
        <v>118</v>
      </c>
      <c r="D53" s="23">
        <v>0</v>
      </c>
      <c r="E53" s="23">
        <v>0</v>
      </c>
      <c r="F53" s="20">
        <v>0</v>
      </c>
      <c r="G53" s="3">
        <v>0</v>
      </c>
      <c r="H53" s="3">
        <v>0</v>
      </c>
      <c r="I53" s="3">
        <v>0</v>
      </c>
      <c r="J53" s="12">
        <v>0</v>
      </c>
      <c r="K53" s="12">
        <v>0</v>
      </c>
    </row>
    <row r="54" spans="1:11" x14ac:dyDescent="0.25">
      <c r="B54" t="s">
        <v>69</v>
      </c>
      <c r="C54" s="2" t="s">
        <v>119</v>
      </c>
      <c r="D54" s="1">
        <v>0</v>
      </c>
      <c r="E54" s="1">
        <v>0</v>
      </c>
      <c r="F54" s="20">
        <v>0</v>
      </c>
      <c r="G54" s="1">
        <v>15781</v>
      </c>
      <c r="H54" s="3">
        <v>0</v>
      </c>
      <c r="I54" s="3">
        <v>0</v>
      </c>
      <c r="J54" s="12">
        <v>0</v>
      </c>
      <c r="K54" s="12">
        <v>0</v>
      </c>
    </row>
    <row r="55" spans="1:11" x14ac:dyDescent="0.25">
      <c r="B55" t="s">
        <v>70</v>
      </c>
      <c r="C55" s="2" t="s">
        <v>120</v>
      </c>
      <c r="D55" s="1">
        <v>0</v>
      </c>
      <c r="E55" s="1">
        <v>0</v>
      </c>
      <c r="F55" s="20">
        <v>0</v>
      </c>
      <c r="G55" s="3">
        <v>0</v>
      </c>
      <c r="H55" s="3">
        <v>0</v>
      </c>
      <c r="I55" s="3">
        <v>0</v>
      </c>
      <c r="J55" s="12">
        <v>0</v>
      </c>
      <c r="K55" s="12">
        <v>0</v>
      </c>
    </row>
    <row r="56" spans="1:11" x14ac:dyDescent="0.25">
      <c r="B56" s="2" t="s">
        <v>78</v>
      </c>
      <c r="C56" s="2" t="s">
        <v>121</v>
      </c>
      <c r="D56" s="23">
        <v>0</v>
      </c>
      <c r="E56" s="23">
        <v>0</v>
      </c>
      <c r="F56" s="20">
        <v>0</v>
      </c>
      <c r="G56" s="3">
        <f>SUM(G52:G55)</f>
        <v>2280861</v>
      </c>
      <c r="H56" s="3">
        <f>SUM(H52:H55)</f>
        <v>1086699</v>
      </c>
      <c r="I56" s="3">
        <f>SUM(I52:I55)</f>
        <v>160354</v>
      </c>
      <c r="J56" s="3">
        <f>SUM(J52:J55)</f>
        <v>0</v>
      </c>
      <c r="K56" s="3">
        <f>SUM(K52:K55)</f>
        <v>0</v>
      </c>
    </row>
    <row r="57" spans="1:11" x14ac:dyDescent="0.25">
      <c r="A57">
        <v>9</v>
      </c>
      <c r="B57" s="6" t="s">
        <v>79</v>
      </c>
      <c r="C57" s="6">
        <v>9</v>
      </c>
      <c r="D57" s="1">
        <f t="shared" ref="D57:I57" si="3">D41+D49-D56</f>
        <v>1187155441</v>
      </c>
      <c r="E57" s="1">
        <f t="shared" si="3"/>
        <v>1169473520</v>
      </c>
      <c r="F57" s="20">
        <f t="shared" si="3"/>
        <v>1833020406</v>
      </c>
      <c r="G57" s="3">
        <f t="shared" si="3"/>
        <v>1959860328</v>
      </c>
      <c r="H57" s="3">
        <f t="shared" si="3"/>
        <v>1842593106</v>
      </c>
      <c r="I57" s="3">
        <f t="shared" si="3"/>
        <v>1391853672</v>
      </c>
      <c r="J57" s="3">
        <f>J41+J49-J56</f>
        <v>1676715567</v>
      </c>
      <c r="K57" s="3">
        <f>K41+K49-K56</f>
        <v>1269557697</v>
      </c>
    </row>
    <row r="58" spans="1:11" x14ac:dyDescent="0.25">
      <c r="B58" s="6"/>
      <c r="C58" s="6"/>
      <c r="D58" s="1"/>
      <c r="E58" s="1"/>
      <c r="F58" s="20"/>
      <c r="G58" s="3"/>
      <c r="H58" s="3"/>
      <c r="I58" s="3"/>
      <c r="J58" s="3"/>
      <c r="K58" s="3"/>
    </row>
    <row r="59" spans="1:11" x14ac:dyDescent="0.25">
      <c r="A59">
        <v>10</v>
      </c>
      <c r="B59" t="s">
        <v>5</v>
      </c>
      <c r="C59">
        <v>10</v>
      </c>
      <c r="D59" s="25">
        <f>(18.5%*1.1*1.03)</f>
        <v>0.20960500000000001</v>
      </c>
      <c r="E59" s="25">
        <f>(18.5%*1.12*1.03)</f>
        <v>0.21341600000000002</v>
      </c>
      <c r="F59" s="19">
        <f>(18.5%*1.12*1.03)</f>
        <v>0.21341600000000002</v>
      </c>
      <c r="G59" s="8">
        <f>(18.5%*1.12*1.03)</f>
        <v>0.21341600000000002</v>
      </c>
      <c r="H59" s="8">
        <f>(18.5%*1.12*1.04)</f>
        <v>0.21548800000000004</v>
      </c>
      <c r="I59" s="8">
        <f>(15%*1.12*1.04)</f>
        <v>0.17472000000000001</v>
      </c>
      <c r="J59" s="8">
        <f>(15%*1.12*1.04)</f>
        <v>0.17472000000000001</v>
      </c>
      <c r="K59" s="8">
        <f>(15%*1.12*1.04)</f>
        <v>0.17472000000000001</v>
      </c>
    </row>
    <row r="60" spans="1:11" x14ac:dyDescent="0.25">
      <c r="A60">
        <v>11</v>
      </c>
      <c r="B60" t="s">
        <v>71</v>
      </c>
      <c r="C60">
        <v>11</v>
      </c>
      <c r="D60" s="1">
        <f t="shared" ref="D60:K60" si="4">D57*D59</f>
        <v>248833716.21080503</v>
      </c>
      <c r="E60" s="1">
        <f t="shared" si="4"/>
        <v>249584360.74432003</v>
      </c>
      <c r="F60" s="18">
        <f t="shared" si="4"/>
        <v>391195882.96689606</v>
      </c>
      <c r="G60">
        <f t="shared" si="4"/>
        <v>418265551.76044804</v>
      </c>
      <c r="H60">
        <f t="shared" si="4"/>
        <v>397056703.22572809</v>
      </c>
      <c r="I60">
        <f t="shared" si="4"/>
        <v>243184673.57184002</v>
      </c>
      <c r="J60">
        <f t="shared" si="4"/>
        <v>292955743.86624002</v>
      </c>
      <c r="K60">
        <f t="shared" si="4"/>
        <v>221817120.81984001</v>
      </c>
    </row>
    <row r="61" spans="1:11" x14ac:dyDescent="0.25">
      <c r="G61" s="3"/>
      <c r="H61" s="3"/>
      <c r="I61" s="3"/>
      <c r="J61" s="12"/>
      <c r="K61" s="13"/>
    </row>
    <row r="62" spans="1:11" x14ac:dyDescent="0.25">
      <c r="G62" s="1"/>
      <c r="H62" s="1"/>
      <c r="I62" s="1"/>
      <c r="J62" s="1"/>
      <c r="K62" s="1"/>
    </row>
    <row r="63" spans="1:11" ht="45" x14ac:dyDescent="0.25">
      <c r="B63" s="5" t="s">
        <v>14</v>
      </c>
      <c r="C63" s="5"/>
      <c r="D63" s="5"/>
      <c r="E63" s="5"/>
      <c r="G63" s="1"/>
      <c r="H63" s="1"/>
      <c r="I63" s="1"/>
    </row>
    <row r="64" spans="1:11" x14ac:dyDescent="0.25">
      <c r="A64">
        <v>12</v>
      </c>
      <c r="B64" s="6" t="s">
        <v>122</v>
      </c>
      <c r="C64" s="6">
        <v>12</v>
      </c>
      <c r="D64" s="7">
        <f t="shared" ref="D64:K64" si="5">D41</f>
        <v>1187155441</v>
      </c>
      <c r="E64" s="7">
        <f t="shared" si="5"/>
        <v>1169473520</v>
      </c>
      <c r="F64" s="7">
        <f t="shared" si="5"/>
        <v>1269364406</v>
      </c>
      <c r="G64" s="7">
        <f t="shared" si="5"/>
        <v>1400250189</v>
      </c>
      <c r="H64" s="7">
        <f t="shared" si="5"/>
        <v>1281804586</v>
      </c>
      <c r="I64" s="7">
        <f t="shared" si="5"/>
        <v>830138807</v>
      </c>
      <c r="J64" s="7">
        <f t="shared" si="5"/>
        <v>1113207657</v>
      </c>
      <c r="K64" s="7">
        <f t="shared" si="5"/>
        <v>1264184351</v>
      </c>
    </row>
    <row r="65" spans="1:11" x14ac:dyDescent="0.25">
      <c r="A65">
        <v>13</v>
      </c>
      <c r="B65" t="s">
        <v>123</v>
      </c>
      <c r="C65">
        <v>13</v>
      </c>
      <c r="D65" s="1">
        <f t="shared" ref="D65:K65" si="6">D64*D59</f>
        <v>248833716.21080503</v>
      </c>
      <c r="E65" s="1">
        <f t="shared" si="6"/>
        <v>249584360.74432003</v>
      </c>
      <c r="F65" s="1">
        <f t="shared" si="6"/>
        <v>270902674.07089603</v>
      </c>
      <c r="G65" s="1">
        <f t="shared" si="6"/>
        <v>298835794.33562404</v>
      </c>
      <c r="H65" s="1">
        <f t="shared" si="6"/>
        <v>276213506.62796807</v>
      </c>
      <c r="I65" s="1">
        <f t="shared" si="6"/>
        <v>145041852.35904002</v>
      </c>
      <c r="J65" s="1">
        <f t="shared" si="6"/>
        <v>194499641.83104002</v>
      </c>
      <c r="K65" s="1">
        <f t="shared" si="6"/>
        <v>220878289.80672002</v>
      </c>
    </row>
    <row r="66" spans="1:11" x14ac:dyDescent="0.25">
      <c r="A66">
        <v>14</v>
      </c>
      <c r="B66" t="s">
        <v>124</v>
      </c>
      <c r="C66">
        <v>14</v>
      </c>
      <c r="D66" s="1">
        <f t="shared" ref="D66:K66" si="7">D60-D65</f>
        <v>0</v>
      </c>
      <c r="E66" s="1">
        <f t="shared" si="7"/>
        <v>0</v>
      </c>
      <c r="F66" s="1">
        <f t="shared" si="7"/>
        <v>120293208.89600003</v>
      </c>
      <c r="G66" s="1">
        <f t="shared" si="7"/>
        <v>119429757.424824</v>
      </c>
      <c r="H66" s="1">
        <f t="shared" si="7"/>
        <v>120843196.59776002</v>
      </c>
      <c r="I66" s="1">
        <f t="shared" si="7"/>
        <v>98142821.212799996</v>
      </c>
      <c r="J66" s="1">
        <f t="shared" si="7"/>
        <v>98456102.0352</v>
      </c>
      <c r="K66" s="1">
        <f t="shared" si="7"/>
        <v>938831.01311999559</v>
      </c>
    </row>
    <row r="68" spans="1:11" x14ac:dyDescent="0.25">
      <c r="D68">
        <v>1121136822</v>
      </c>
    </row>
    <row r="69" spans="1:11" x14ac:dyDescent="0.25">
      <c r="D69">
        <v>65936590</v>
      </c>
    </row>
    <row r="70" spans="1:11" x14ac:dyDescent="0.25">
      <c r="D70">
        <v>816287840</v>
      </c>
    </row>
    <row r="71" spans="1:11" x14ac:dyDescent="0.25">
      <c r="D71">
        <v>82029</v>
      </c>
    </row>
    <row r="72" spans="1:11" x14ac:dyDescent="0.25">
      <c r="D72">
        <v>-816287840</v>
      </c>
    </row>
    <row r="73" spans="1:11" x14ac:dyDescent="0.25">
      <c r="D73">
        <f>SUM(D68:D72)</f>
        <v>1187155441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1"/>
  <sheetViews>
    <sheetView zoomScaleNormal="100" workbookViewId="0">
      <pane xSplit="3" ySplit="1" topLeftCell="D11" activePane="bottomRight" state="frozen"/>
      <selection pane="topRight" activeCell="C1" sqref="C1"/>
      <selection pane="bottomLeft" activeCell="A2" sqref="A2"/>
      <selection pane="bottomRight" activeCell="D28" sqref="D28"/>
    </sheetView>
  </sheetViews>
  <sheetFormatPr defaultColWidth="9.140625" defaultRowHeight="15" x14ac:dyDescent="0.25"/>
  <cols>
    <col min="1" max="1" width="9.140625" style="52"/>
    <col min="2" max="2" width="3" style="52" bestFit="1" customWidth="1"/>
    <col min="3" max="3" width="43" style="52" bestFit="1" customWidth="1"/>
    <col min="4" max="5" width="9.140625" style="52"/>
    <col min="6" max="6" width="9" style="52" bestFit="1" customWidth="1"/>
    <col min="7" max="8" width="9.140625" style="52"/>
    <col min="9" max="9" width="9.140625" style="52" bestFit="1" customWidth="1"/>
    <col min="10" max="16384" width="9.140625" style="52"/>
  </cols>
  <sheetData>
    <row r="1" spans="2:15" x14ac:dyDescent="0.25">
      <c r="D1" s="53" t="s">
        <v>6</v>
      </c>
      <c r="E1" s="53" t="s">
        <v>7</v>
      </c>
      <c r="F1" s="53" t="s">
        <v>0</v>
      </c>
      <c r="G1" s="53" t="s">
        <v>1</v>
      </c>
      <c r="H1" s="53" t="s">
        <v>2</v>
      </c>
      <c r="I1" s="53" t="s">
        <v>3</v>
      </c>
      <c r="J1" s="53" t="s">
        <v>4</v>
      </c>
      <c r="K1" s="53" t="s">
        <v>134</v>
      </c>
      <c r="L1" s="53" t="s">
        <v>161</v>
      </c>
    </row>
    <row r="2" spans="2:15" x14ac:dyDescent="0.25">
      <c r="B2" s="52" t="s">
        <v>135</v>
      </c>
      <c r="C2" s="53" t="s">
        <v>164</v>
      </c>
    </row>
    <row r="3" spans="2:15" x14ac:dyDescent="0.25">
      <c r="B3" s="52">
        <v>1</v>
      </c>
      <c r="C3" s="52" t="s">
        <v>165</v>
      </c>
      <c r="D3" s="54">
        <v>23870.36</v>
      </c>
      <c r="E3" s="54">
        <v>23137.919999999998</v>
      </c>
      <c r="F3" s="54">
        <v>14819.93</v>
      </c>
      <c r="G3" s="54">
        <v>15949.41</v>
      </c>
      <c r="H3" s="54">
        <v>14475.49</v>
      </c>
      <c r="I3" s="54">
        <v>9079.7999999999993</v>
      </c>
      <c r="J3" s="54">
        <v>11393.49</v>
      </c>
      <c r="K3" s="54">
        <v>13067.09</v>
      </c>
      <c r="L3" s="54">
        <v>12604.72</v>
      </c>
    </row>
    <row r="4" spans="2:15" x14ac:dyDescent="0.25">
      <c r="B4" s="52">
        <v>2</v>
      </c>
      <c r="C4" s="52" t="s">
        <v>160</v>
      </c>
      <c r="D4" s="54">
        <v>276.85000000000002</v>
      </c>
      <c r="E4" s="54">
        <v>235.94</v>
      </c>
      <c r="F4" s="54">
        <v>245.98</v>
      </c>
      <c r="G4" s="54">
        <v>275.38</v>
      </c>
      <c r="H4" s="54">
        <v>274.17</v>
      </c>
      <c r="I4" s="54">
        <v>128.19</v>
      </c>
      <c r="J4" s="54">
        <v>164.06</v>
      </c>
      <c r="K4" s="54">
        <v>177.01</v>
      </c>
      <c r="L4" s="54">
        <v>177.5</v>
      </c>
    </row>
    <row r="5" spans="2:15" x14ac:dyDescent="0.25">
      <c r="B5" s="52">
        <v>3</v>
      </c>
      <c r="C5" s="52" t="s">
        <v>159</v>
      </c>
      <c r="D5" s="54"/>
      <c r="E5" s="54"/>
      <c r="F5" s="54"/>
      <c r="G5" s="54">
        <v>154.25</v>
      </c>
      <c r="H5" s="54">
        <v>149.63</v>
      </c>
      <c r="I5" s="54">
        <v>80.430000000000007</v>
      </c>
      <c r="J5" s="54">
        <v>65.959999999999994</v>
      </c>
      <c r="K5" s="54">
        <v>47.85</v>
      </c>
      <c r="L5" s="54">
        <v>79.650000000000006</v>
      </c>
      <c r="O5" s="54"/>
    </row>
    <row r="6" spans="2:15" x14ac:dyDescent="0.25">
      <c r="B6" s="52">
        <v>4</v>
      </c>
      <c r="C6" s="52" t="s">
        <v>162</v>
      </c>
      <c r="D6" s="54"/>
      <c r="E6" s="54"/>
      <c r="F6" s="54"/>
      <c r="G6" s="54"/>
      <c r="H6" s="54"/>
      <c r="I6" s="54"/>
      <c r="J6" s="54"/>
      <c r="K6" s="54">
        <v>664.85</v>
      </c>
      <c r="L6" s="54">
        <v>95.57</v>
      </c>
    </row>
    <row r="7" spans="2:15" x14ac:dyDescent="0.25">
      <c r="B7" s="52">
        <v>5</v>
      </c>
      <c r="C7" s="52" t="s">
        <v>158</v>
      </c>
      <c r="D7" s="54">
        <v>43.35</v>
      </c>
      <c r="E7" s="54">
        <v>19</v>
      </c>
      <c r="F7" s="54">
        <v>0</v>
      </c>
      <c r="G7" s="54">
        <v>28.96</v>
      </c>
      <c r="H7" s="54">
        <v>0</v>
      </c>
      <c r="I7" s="54">
        <v>82.18</v>
      </c>
      <c r="J7" s="54">
        <v>202.98</v>
      </c>
      <c r="K7" s="54">
        <v>6.57</v>
      </c>
      <c r="L7" s="54">
        <v>0</v>
      </c>
    </row>
    <row r="8" spans="2:15" x14ac:dyDescent="0.25">
      <c r="B8" s="53" t="s">
        <v>135</v>
      </c>
      <c r="C8" s="53" t="s">
        <v>191</v>
      </c>
      <c r="D8" s="55">
        <f>SUM(D3:D7)</f>
        <v>24190.559999999998</v>
      </c>
      <c r="E8" s="55">
        <f>SUM(E3:E7)</f>
        <v>23392.859999999997</v>
      </c>
      <c r="F8" s="55">
        <f>SUM(F3:F7)</f>
        <v>15065.91</v>
      </c>
      <c r="G8" s="55">
        <f>G3+G4-G5+G7</f>
        <v>16099.499999999998</v>
      </c>
      <c r="H8" s="55">
        <f>H3+H4-H5+H7</f>
        <v>14600.03</v>
      </c>
      <c r="I8" s="55">
        <f>I3+I4-I5+I7</f>
        <v>9209.74</v>
      </c>
      <c r="J8" s="55">
        <f>J3+J4-J5+J7</f>
        <v>11694.57</v>
      </c>
      <c r="K8" s="55">
        <f>K3+K4-K5+K6+K7</f>
        <v>13867.67</v>
      </c>
      <c r="L8" s="55">
        <f>L3+L4-L5+L6+L7</f>
        <v>12798.14</v>
      </c>
    </row>
    <row r="9" spans="2:15" x14ac:dyDescent="0.25">
      <c r="B9" s="53"/>
      <c r="C9" s="53"/>
      <c r="D9" s="55"/>
      <c r="E9" s="55"/>
      <c r="F9" s="55"/>
      <c r="G9" s="55"/>
      <c r="H9" s="55"/>
      <c r="I9" s="55"/>
      <c r="J9" s="55"/>
      <c r="K9" s="55"/>
      <c r="L9" s="55"/>
    </row>
    <row r="10" spans="2:15" x14ac:dyDescent="0.25">
      <c r="B10" s="52" t="s">
        <v>186</v>
      </c>
      <c r="C10" s="53" t="s">
        <v>157</v>
      </c>
      <c r="D10" s="54"/>
      <c r="E10" s="54"/>
      <c r="F10" s="54"/>
      <c r="G10" s="54"/>
      <c r="H10" s="54"/>
      <c r="I10" s="54"/>
      <c r="J10" s="54"/>
      <c r="K10" s="54"/>
      <c r="L10" s="54"/>
    </row>
    <row r="11" spans="2:15" x14ac:dyDescent="0.25">
      <c r="B11" s="52">
        <v>1</v>
      </c>
      <c r="C11" s="52" t="s">
        <v>156</v>
      </c>
      <c r="D11" s="54">
        <v>658.88</v>
      </c>
      <c r="E11" s="54">
        <v>706.13</v>
      </c>
      <c r="F11" s="54">
        <v>588.35</v>
      </c>
      <c r="G11" s="54">
        <v>377.45</v>
      </c>
      <c r="H11" s="54">
        <v>333.67</v>
      </c>
      <c r="I11" s="54">
        <v>155.85</v>
      </c>
      <c r="J11" s="54">
        <v>143.22</v>
      </c>
      <c r="K11" s="54">
        <v>122.56</v>
      </c>
      <c r="L11" s="54">
        <v>139.76</v>
      </c>
    </row>
    <row r="12" spans="2:15" x14ac:dyDescent="0.25">
      <c r="B12" s="52">
        <v>2</v>
      </c>
      <c r="C12" s="52" t="s">
        <v>142</v>
      </c>
      <c r="D12" s="54">
        <v>56.04</v>
      </c>
      <c r="E12" s="54">
        <v>223</v>
      </c>
      <c r="F12" s="54">
        <v>135.51</v>
      </c>
      <c r="G12" s="54">
        <v>161.97</v>
      </c>
      <c r="H12" s="54">
        <v>91.07</v>
      </c>
      <c r="I12" s="54">
        <v>209.25</v>
      </c>
      <c r="J12" s="54">
        <v>330.15</v>
      </c>
      <c r="K12" s="54">
        <v>24.22</v>
      </c>
      <c r="L12" s="54">
        <v>288.62</v>
      </c>
    </row>
    <row r="13" spans="2:15" x14ac:dyDescent="0.25">
      <c r="B13" s="52">
        <v>3</v>
      </c>
      <c r="C13" s="52" t="s">
        <v>155</v>
      </c>
      <c r="D13" s="54"/>
      <c r="E13" s="54"/>
      <c r="F13" s="54">
        <v>26.67</v>
      </c>
      <c r="G13" s="54"/>
      <c r="H13" s="54"/>
      <c r="I13" s="54"/>
      <c r="J13" s="54"/>
      <c r="K13" s="54"/>
      <c r="L13" s="54"/>
    </row>
    <row r="14" spans="2:15" x14ac:dyDescent="0.25">
      <c r="B14" s="52">
        <v>4</v>
      </c>
      <c r="C14" s="52" t="s">
        <v>154</v>
      </c>
      <c r="D14" s="54"/>
      <c r="E14" s="54"/>
      <c r="F14" s="54"/>
      <c r="G14" s="54">
        <v>94.89</v>
      </c>
      <c r="H14" s="54"/>
      <c r="I14" s="54"/>
      <c r="J14" s="54">
        <v>44.71</v>
      </c>
      <c r="K14" s="54"/>
      <c r="L14" s="54"/>
    </row>
    <row r="15" spans="2:15" x14ac:dyDescent="0.25">
      <c r="B15" s="52">
        <v>5</v>
      </c>
      <c r="C15" s="52" t="s">
        <v>153</v>
      </c>
      <c r="D15" s="54"/>
      <c r="E15" s="54"/>
      <c r="F15" s="54"/>
      <c r="G15" s="54">
        <v>2.11</v>
      </c>
      <c r="H15" s="54">
        <v>1.96</v>
      </c>
      <c r="I15" s="54"/>
      <c r="J15" s="54"/>
      <c r="K15" s="54"/>
      <c r="L15" s="54"/>
    </row>
    <row r="16" spans="2:15" x14ac:dyDescent="0.25">
      <c r="B16" s="52">
        <v>6</v>
      </c>
      <c r="C16" s="52" t="s">
        <v>152</v>
      </c>
      <c r="D16" s="54"/>
      <c r="E16" s="54"/>
      <c r="F16" s="54"/>
      <c r="G16" s="54"/>
      <c r="H16" s="54">
        <v>15.08</v>
      </c>
      <c r="I16" s="54"/>
      <c r="J16" s="54">
        <v>1.48</v>
      </c>
      <c r="K16" s="54"/>
      <c r="L16" s="54"/>
    </row>
    <row r="17" spans="2:14" x14ac:dyDescent="0.25">
      <c r="B17" s="52">
        <v>7</v>
      </c>
      <c r="C17" s="52" t="s">
        <v>151</v>
      </c>
      <c r="D17" s="54"/>
      <c r="E17" s="54"/>
      <c r="F17" s="54"/>
      <c r="G17" s="54"/>
      <c r="H17" s="54">
        <v>501.42</v>
      </c>
      <c r="I17" s="54">
        <v>336.68</v>
      </c>
      <c r="J17" s="54">
        <v>511.63</v>
      </c>
      <c r="K17" s="54">
        <v>398.63</v>
      </c>
      <c r="L17" s="54">
        <v>593.57000000000005</v>
      </c>
    </row>
    <row r="18" spans="2:14" x14ac:dyDescent="0.25">
      <c r="B18" s="52">
        <v>8</v>
      </c>
      <c r="C18" s="52" t="s">
        <v>150</v>
      </c>
      <c r="D18" s="54">
        <v>870.57</v>
      </c>
      <c r="E18" s="54">
        <v>489.28</v>
      </c>
      <c r="F18" s="54">
        <v>458.52</v>
      </c>
      <c r="G18" s="54">
        <v>631.27</v>
      </c>
      <c r="H18" s="54"/>
      <c r="I18" s="54"/>
      <c r="J18" s="54"/>
      <c r="K18" s="54"/>
      <c r="L18" s="54"/>
    </row>
    <row r="19" spans="2:14" x14ac:dyDescent="0.25">
      <c r="C19" s="53" t="s">
        <v>149</v>
      </c>
      <c r="D19" s="54"/>
      <c r="E19" s="54"/>
      <c r="F19" s="54"/>
      <c r="G19" s="54"/>
      <c r="H19" s="54"/>
      <c r="I19" s="54"/>
      <c r="J19" s="54"/>
      <c r="K19" s="54"/>
      <c r="L19" s="54"/>
    </row>
    <row r="20" spans="2:14" x14ac:dyDescent="0.25">
      <c r="B20" s="52">
        <v>9</v>
      </c>
      <c r="C20" s="52" t="s">
        <v>148</v>
      </c>
      <c r="D20" s="54">
        <v>4.82</v>
      </c>
      <c r="E20" s="54">
        <v>0</v>
      </c>
      <c r="F20" s="54"/>
      <c r="G20" s="54"/>
      <c r="H20" s="54"/>
      <c r="I20" s="54"/>
      <c r="J20" s="54"/>
      <c r="K20" s="54"/>
      <c r="L20" s="54"/>
    </row>
    <row r="21" spans="2:14" x14ac:dyDescent="0.25">
      <c r="B21" s="52">
        <v>10</v>
      </c>
      <c r="C21" s="52" t="s">
        <v>147</v>
      </c>
      <c r="D21" s="54">
        <v>17.54</v>
      </c>
      <c r="E21" s="54">
        <v>13.15</v>
      </c>
      <c r="F21" s="54">
        <v>2.75</v>
      </c>
      <c r="G21" s="54">
        <v>22.48</v>
      </c>
      <c r="H21" s="54">
        <v>13.5</v>
      </c>
      <c r="I21" s="54">
        <v>15.35</v>
      </c>
      <c r="J21" s="54">
        <v>6.68</v>
      </c>
      <c r="K21" s="54">
        <v>2.52</v>
      </c>
      <c r="L21" s="54">
        <v>62.96</v>
      </c>
    </row>
    <row r="22" spans="2:14" x14ac:dyDescent="0.25">
      <c r="B22" s="52">
        <v>11</v>
      </c>
      <c r="C22" s="52" t="s">
        <v>146</v>
      </c>
      <c r="D22" s="54"/>
      <c r="E22" s="54"/>
      <c r="F22" s="54"/>
      <c r="G22" s="54">
        <v>0.77</v>
      </c>
      <c r="H22" s="54">
        <v>0.44</v>
      </c>
      <c r="I22" s="54"/>
      <c r="J22" s="54"/>
      <c r="K22" s="54"/>
      <c r="L22" s="54"/>
    </row>
    <row r="23" spans="2:14" x14ac:dyDescent="0.25">
      <c r="B23" s="52" t="s">
        <v>186</v>
      </c>
      <c r="C23" s="53" t="s">
        <v>192</v>
      </c>
      <c r="D23" s="55">
        <f>SUM(D11:D22)</f>
        <v>1607.85</v>
      </c>
      <c r="E23" s="55">
        <f t="shared" ref="E23:L23" si="0">SUM(E11:E22)</f>
        <v>1431.56</v>
      </c>
      <c r="F23" s="55">
        <f t="shared" si="0"/>
        <v>1211.8</v>
      </c>
      <c r="G23" s="55">
        <f t="shared" si="0"/>
        <v>1290.94</v>
      </c>
      <c r="H23" s="55">
        <f t="shared" si="0"/>
        <v>957.1400000000001</v>
      </c>
      <c r="I23" s="55">
        <f t="shared" si="0"/>
        <v>717.13</v>
      </c>
      <c r="J23" s="55">
        <f t="shared" si="0"/>
        <v>1037.8700000000001</v>
      </c>
      <c r="K23" s="55">
        <f t="shared" si="0"/>
        <v>547.92999999999995</v>
      </c>
      <c r="L23" s="55">
        <f t="shared" si="0"/>
        <v>1084.9100000000001</v>
      </c>
    </row>
    <row r="24" spans="2:14" x14ac:dyDescent="0.25">
      <c r="B24" s="53" t="s">
        <v>193</v>
      </c>
      <c r="C24" s="53" t="s">
        <v>194</v>
      </c>
      <c r="D24" s="55"/>
      <c r="E24" s="55"/>
      <c r="F24" s="55"/>
      <c r="G24" s="55"/>
      <c r="H24" s="55"/>
      <c r="I24" s="55"/>
      <c r="J24" s="55"/>
      <c r="K24" s="55"/>
      <c r="L24" s="55"/>
    </row>
    <row r="25" spans="2:14" x14ac:dyDescent="0.25">
      <c r="C25" s="52" t="s">
        <v>144</v>
      </c>
      <c r="D25" s="54"/>
      <c r="E25" s="54"/>
      <c r="F25" s="54"/>
      <c r="G25" s="54"/>
      <c r="H25" s="54"/>
      <c r="I25" s="54"/>
      <c r="J25" s="54"/>
      <c r="K25" s="54"/>
      <c r="L25" s="54"/>
      <c r="N25" s="56"/>
    </row>
    <row r="26" spans="2:14" x14ac:dyDescent="0.25">
      <c r="B26" s="52">
        <v>1</v>
      </c>
      <c r="C26" s="52" t="s">
        <v>143</v>
      </c>
      <c r="D26" s="54">
        <v>35.299999999999997</v>
      </c>
      <c r="E26" s="54">
        <v>17.84</v>
      </c>
      <c r="F26" s="54"/>
      <c r="G26" s="54"/>
      <c r="H26" s="54"/>
      <c r="I26" s="54"/>
      <c r="J26" s="54"/>
      <c r="K26" s="54"/>
      <c r="L26" s="54"/>
      <c r="N26" s="56"/>
    </row>
    <row r="27" spans="2:14" x14ac:dyDescent="0.25">
      <c r="C27" s="57" t="s">
        <v>204</v>
      </c>
      <c r="D27" s="58">
        <v>0.06</v>
      </c>
      <c r="E27" s="58">
        <v>0.48</v>
      </c>
      <c r="F27" s="58"/>
      <c r="G27" s="58">
        <v>14.48</v>
      </c>
      <c r="H27" s="58">
        <v>1.96</v>
      </c>
      <c r="I27" s="58"/>
      <c r="J27" s="58"/>
      <c r="K27" s="58"/>
      <c r="L27" s="58"/>
      <c r="N27" s="56"/>
    </row>
    <row r="28" spans="2:14" ht="30" x14ac:dyDescent="0.25">
      <c r="B28" s="53" t="s">
        <v>193</v>
      </c>
      <c r="C28" s="59" t="s">
        <v>195</v>
      </c>
      <c r="D28" s="55">
        <f>D23-D21-D20-D12+D7-D26-D22-D27</f>
        <v>1537.44</v>
      </c>
      <c r="E28" s="55">
        <f t="shared" ref="E28:L28" si="1">E23-E21-E20-E12+E7-E26-E22-E27</f>
        <v>1196.0899999999999</v>
      </c>
      <c r="F28" s="55">
        <f t="shared" si="1"/>
        <v>1073.54</v>
      </c>
      <c r="G28" s="55">
        <f t="shared" si="1"/>
        <v>1120.2</v>
      </c>
      <c r="H28" s="55">
        <f t="shared" si="1"/>
        <v>850.17000000000007</v>
      </c>
      <c r="I28" s="55">
        <f t="shared" si="1"/>
        <v>574.71</v>
      </c>
      <c r="J28" s="55">
        <f t="shared" si="1"/>
        <v>904.0200000000001</v>
      </c>
      <c r="K28" s="55">
        <f t="shared" si="1"/>
        <v>527.76</v>
      </c>
      <c r="L28" s="55">
        <f t="shared" si="1"/>
        <v>733.33</v>
      </c>
      <c r="N28" s="56"/>
    </row>
    <row r="29" spans="2:14" x14ac:dyDescent="0.25">
      <c r="C29" s="59"/>
      <c r="D29" s="55"/>
      <c r="E29" s="55"/>
      <c r="F29" s="55"/>
      <c r="G29" s="55"/>
      <c r="H29" s="55"/>
      <c r="I29" s="55"/>
      <c r="J29" s="55"/>
      <c r="K29" s="55"/>
      <c r="L29" s="55"/>
      <c r="N29" s="56"/>
    </row>
    <row r="30" spans="2:14" x14ac:dyDescent="0.25">
      <c r="B30" s="53" t="s">
        <v>197</v>
      </c>
      <c r="C30" s="53" t="s">
        <v>196</v>
      </c>
      <c r="D30" s="55">
        <f t="shared" ref="D30:L30" si="2">D8+D23</f>
        <v>25798.409999999996</v>
      </c>
      <c r="E30" s="55">
        <f t="shared" si="2"/>
        <v>24824.42</v>
      </c>
      <c r="F30" s="55">
        <f t="shared" si="2"/>
        <v>16277.71</v>
      </c>
      <c r="G30" s="55">
        <f t="shared" si="2"/>
        <v>17390.439999999999</v>
      </c>
      <c r="H30" s="55">
        <f t="shared" si="2"/>
        <v>15557.17</v>
      </c>
      <c r="I30" s="55">
        <f t="shared" si="2"/>
        <v>9926.869999999999</v>
      </c>
      <c r="J30" s="55">
        <f t="shared" si="2"/>
        <v>12732.44</v>
      </c>
      <c r="K30" s="55">
        <f t="shared" si="2"/>
        <v>14415.6</v>
      </c>
      <c r="L30" s="55">
        <f t="shared" si="2"/>
        <v>13883.05</v>
      </c>
    </row>
    <row r="31" spans="2:14" x14ac:dyDescent="0.25">
      <c r="D31" s="54"/>
      <c r="E31" s="54"/>
      <c r="F31" s="54"/>
      <c r="G31" s="54"/>
      <c r="H31" s="54"/>
      <c r="I31" s="54"/>
      <c r="J31" s="54"/>
      <c r="K31" s="54"/>
      <c r="L31" s="54"/>
    </row>
    <row r="32" spans="2:14" x14ac:dyDescent="0.25">
      <c r="B32" s="53" t="s">
        <v>190</v>
      </c>
      <c r="C32" s="53" t="s">
        <v>145</v>
      </c>
      <c r="D32" s="55">
        <v>13927.68</v>
      </c>
      <c r="E32" s="55">
        <v>13132.45</v>
      </c>
      <c r="F32" s="54">
        <v>3596.11</v>
      </c>
      <c r="G32" s="54">
        <v>3513.2</v>
      </c>
      <c r="H32" s="54">
        <v>2739.12</v>
      </c>
      <c r="I32" s="54">
        <v>1625.48</v>
      </c>
      <c r="J32" s="54">
        <v>1600.36</v>
      </c>
      <c r="K32" s="54">
        <v>1788.56</v>
      </c>
      <c r="L32" s="54">
        <v>2144.38</v>
      </c>
    </row>
    <row r="33" spans="2:12" x14ac:dyDescent="0.25">
      <c r="D33" s="54"/>
      <c r="E33" s="54"/>
      <c r="F33" s="54"/>
      <c r="G33" s="54"/>
      <c r="H33" s="54"/>
      <c r="I33" s="54"/>
      <c r="J33" s="54"/>
      <c r="K33" s="54"/>
      <c r="L33" s="54"/>
    </row>
    <row r="34" spans="2:12" x14ac:dyDescent="0.25">
      <c r="B34" s="53" t="s">
        <v>198</v>
      </c>
      <c r="C34" s="53" t="s">
        <v>199</v>
      </c>
      <c r="D34" s="55">
        <f>D30-D32</f>
        <v>11870.729999999996</v>
      </c>
      <c r="E34" s="55">
        <f>E30-E32</f>
        <v>11691.969999999998</v>
      </c>
      <c r="F34" s="55">
        <f t="shared" ref="F34:L34" si="3">F30-F32</f>
        <v>12681.599999999999</v>
      </c>
      <c r="G34" s="55">
        <f t="shared" si="3"/>
        <v>13877.239999999998</v>
      </c>
      <c r="H34" s="55">
        <f t="shared" si="3"/>
        <v>12818.05</v>
      </c>
      <c r="I34" s="55">
        <f t="shared" si="3"/>
        <v>8301.39</v>
      </c>
      <c r="J34" s="55">
        <f t="shared" si="3"/>
        <v>11132.08</v>
      </c>
      <c r="K34" s="55">
        <f t="shared" si="3"/>
        <v>12627.04</v>
      </c>
      <c r="L34" s="55">
        <f t="shared" si="3"/>
        <v>11738.669999999998</v>
      </c>
    </row>
    <row r="36" spans="2:12" x14ac:dyDescent="0.25">
      <c r="C36" s="52" t="s">
        <v>163</v>
      </c>
      <c r="D36" s="54">
        <f t="shared" ref="D36:L36" si="4">D34-D28</f>
        <v>10333.289999999995</v>
      </c>
      <c r="E36" s="54">
        <f t="shared" si="4"/>
        <v>10495.879999999997</v>
      </c>
      <c r="F36" s="54">
        <f t="shared" si="4"/>
        <v>11608.059999999998</v>
      </c>
      <c r="G36" s="54">
        <f t="shared" si="4"/>
        <v>12757.039999999997</v>
      </c>
      <c r="H36" s="54">
        <f t="shared" si="4"/>
        <v>11967.88</v>
      </c>
      <c r="I36" s="54">
        <f t="shared" si="4"/>
        <v>7726.6799999999994</v>
      </c>
      <c r="J36" s="54">
        <f t="shared" si="4"/>
        <v>10228.06</v>
      </c>
      <c r="K36" s="54">
        <f t="shared" si="4"/>
        <v>12099.28</v>
      </c>
      <c r="L36" s="54">
        <f t="shared" si="4"/>
        <v>11005.339999999998</v>
      </c>
    </row>
    <row r="37" spans="2:12" x14ac:dyDescent="0.25">
      <c r="D37" s="54"/>
      <c r="G37" s="54"/>
      <c r="H37" s="54"/>
    </row>
    <row r="38" spans="2:12" x14ac:dyDescent="0.25">
      <c r="C38" s="60" t="s">
        <v>209</v>
      </c>
      <c r="D38" s="54"/>
      <c r="G38" s="54"/>
      <c r="H38" s="54"/>
    </row>
    <row r="39" spans="2:12" x14ac:dyDescent="0.25">
      <c r="C39" s="60" t="s">
        <v>210</v>
      </c>
      <c r="D39" s="61"/>
      <c r="E39" s="60"/>
      <c r="F39" s="60"/>
      <c r="G39" s="61"/>
      <c r="H39" s="61"/>
    </row>
    <row r="40" spans="2:12" x14ac:dyDescent="0.25">
      <c r="C40" s="60"/>
      <c r="D40" s="61"/>
      <c r="E40" s="60"/>
      <c r="F40" s="60"/>
      <c r="G40" s="61"/>
      <c r="H40" s="61"/>
    </row>
    <row r="41" spans="2:12" x14ac:dyDescent="0.25">
      <c r="C41" s="60"/>
      <c r="D41" s="61"/>
      <c r="E41" s="61"/>
      <c r="F41" s="61"/>
      <c r="G41" s="61"/>
      <c r="H41" s="61"/>
    </row>
    <row r="42" spans="2:12" x14ac:dyDescent="0.25">
      <c r="C42" s="60"/>
      <c r="D42" s="61"/>
      <c r="E42" s="61"/>
      <c r="F42" s="61"/>
      <c r="G42" s="61"/>
      <c r="H42" s="61"/>
    </row>
    <row r="43" spans="2:12" x14ac:dyDescent="0.25">
      <c r="D43" s="54"/>
      <c r="G43" s="54"/>
      <c r="H43" s="54"/>
    </row>
    <row r="44" spans="2:12" x14ac:dyDescent="0.25">
      <c r="D44" s="54"/>
      <c r="G44" s="54"/>
      <c r="H44" s="54"/>
    </row>
    <row r="45" spans="2:12" x14ac:dyDescent="0.25">
      <c r="D45" s="54"/>
      <c r="G45" s="54"/>
      <c r="H45" s="54"/>
    </row>
    <row r="46" spans="2:12" x14ac:dyDescent="0.25">
      <c r="D46" s="54"/>
    </row>
    <row r="47" spans="2:12" x14ac:dyDescent="0.25">
      <c r="D47" s="54"/>
    </row>
    <row r="48" spans="2:12" x14ac:dyDescent="0.25">
      <c r="D48" s="54"/>
    </row>
    <row r="49" spans="4:4" x14ac:dyDescent="0.25">
      <c r="D49" s="54"/>
    </row>
    <row r="50" spans="4:4" x14ac:dyDescent="0.25">
      <c r="D50" s="54"/>
    </row>
    <row r="51" spans="4:4" x14ac:dyDescent="0.25">
      <c r="D51" s="5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view="pageBreakPreview" zoomScaleNormal="100" zoomScaleSheetLayoutView="100" workbookViewId="0">
      <pane xSplit="3" ySplit="10" topLeftCell="D51" activePane="bottomRight" state="frozen"/>
      <selection pane="topRight" activeCell="D1" sqref="D1"/>
      <selection pane="bottomLeft" activeCell="A5" sqref="A5"/>
      <selection pane="bottomRight" activeCell="G56" sqref="G56"/>
    </sheetView>
  </sheetViews>
  <sheetFormatPr defaultRowHeight="15" x14ac:dyDescent="0.25"/>
  <cols>
    <col min="1" max="1" width="6.85546875" style="9" bestFit="1" customWidth="1"/>
    <col min="2" max="2" width="53.5703125" customWidth="1"/>
    <col min="3" max="3" width="8.42578125" style="9" bestFit="1" customWidth="1"/>
    <col min="4" max="4" width="11.140625" bestFit="1" customWidth="1"/>
    <col min="5" max="5" width="8.7109375" bestFit="1" customWidth="1"/>
    <col min="6" max="10" width="9.7109375" bestFit="1" customWidth="1"/>
    <col min="11" max="11" width="8.7109375" bestFit="1" customWidth="1"/>
    <col min="12" max="12" width="9.140625" customWidth="1"/>
  </cols>
  <sheetData>
    <row r="1" spans="1:20" x14ac:dyDescent="0.25">
      <c r="B1" t="s">
        <v>206</v>
      </c>
    </row>
    <row r="2" spans="1:20" x14ac:dyDescent="0.25">
      <c r="A2" s="87"/>
      <c r="B2" s="151" t="s">
        <v>207</v>
      </c>
      <c r="C2" s="151"/>
      <c r="D2" s="151"/>
      <c r="E2" s="151"/>
      <c r="F2" s="151"/>
      <c r="G2" s="151"/>
      <c r="H2" s="151"/>
      <c r="I2" s="151"/>
      <c r="J2" s="151"/>
      <c r="K2" s="152"/>
    </row>
    <row r="3" spans="1:20" x14ac:dyDescent="0.25">
      <c r="A3" s="88" t="s">
        <v>133</v>
      </c>
      <c r="B3" s="89" t="s">
        <v>9</v>
      </c>
      <c r="C3" s="88"/>
      <c r="D3" s="90" t="s">
        <v>6</v>
      </c>
      <c r="E3" s="90" t="s">
        <v>7</v>
      </c>
      <c r="F3" s="90" t="s">
        <v>0</v>
      </c>
      <c r="G3" s="90" t="s">
        <v>1</v>
      </c>
      <c r="H3" s="90" t="s">
        <v>2</v>
      </c>
      <c r="I3" s="90" t="s">
        <v>3</v>
      </c>
      <c r="J3" s="90" t="s">
        <v>4</v>
      </c>
      <c r="K3" s="90" t="s">
        <v>134</v>
      </c>
    </row>
    <row r="4" spans="1:20" x14ac:dyDescent="0.25">
      <c r="A4" s="88" t="s">
        <v>135</v>
      </c>
      <c r="B4" s="89" t="s">
        <v>244</v>
      </c>
      <c r="C4" s="88"/>
      <c r="D4" s="63">
        <v>11870.729999999996</v>
      </c>
      <c r="E4" s="63">
        <v>11691.969999999998</v>
      </c>
      <c r="F4" s="63">
        <v>12681.599999999999</v>
      </c>
      <c r="G4" s="63">
        <v>13877.239999999998</v>
      </c>
      <c r="H4" s="63">
        <v>12818.05</v>
      </c>
      <c r="I4" s="63">
        <v>8301.39</v>
      </c>
      <c r="J4" s="63">
        <v>11132.08</v>
      </c>
      <c r="K4" s="63">
        <v>12627.04</v>
      </c>
    </row>
    <row r="5" spans="1:20" x14ac:dyDescent="0.25">
      <c r="A5" s="88" t="s">
        <v>55</v>
      </c>
      <c r="B5" s="89" t="s">
        <v>227</v>
      </c>
      <c r="C5" s="88"/>
      <c r="D5" s="63">
        <f>'P&amp;L'!D28</f>
        <v>1537.44</v>
      </c>
      <c r="E5" s="63">
        <f>'P&amp;L'!E28</f>
        <v>1196.0899999999999</v>
      </c>
      <c r="F5" s="63">
        <f>'P&amp;L'!F28</f>
        <v>1073.54</v>
      </c>
      <c r="G5" s="63">
        <f>'P&amp;L'!G28</f>
        <v>1120.2</v>
      </c>
      <c r="H5" s="63">
        <f>'P&amp;L'!H28</f>
        <v>850.17000000000007</v>
      </c>
      <c r="I5" s="63">
        <f>'P&amp;L'!I28</f>
        <v>574.71</v>
      </c>
      <c r="J5" s="63">
        <f>'P&amp;L'!J28</f>
        <v>904.0200000000001</v>
      </c>
      <c r="K5" s="63">
        <f>'P&amp;L'!K28</f>
        <v>527.76</v>
      </c>
    </row>
    <row r="6" spans="1:20" x14ac:dyDescent="0.25">
      <c r="A6" s="88" t="s">
        <v>167</v>
      </c>
      <c r="B6" s="89" t="s">
        <v>228</v>
      </c>
      <c r="C6" s="88" t="s">
        <v>200</v>
      </c>
      <c r="D6" s="63">
        <f>D4-D5</f>
        <v>10333.289999999995</v>
      </c>
      <c r="E6" s="63">
        <f t="shared" ref="E6:K6" si="0">E4-E5</f>
        <v>10495.879999999997</v>
      </c>
      <c r="F6" s="63">
        <f t="shared" si="0"/>
        <v>11608.059999999998</v>
      </c>
      <c r="G6" s="63">
        <f t="shared" si="0"/>
        <v>12757.039999999997</v>
      </c>
      <c r="H6" s="63">
        <f t="shared" si="0"/>
        <v>11967.88</v>
      </c>
      <c r="I6" s="63">
        <f t="shared" si="0"/>
        <v>7726.6799999999994</v>
      </c>
      <c r="J6" s="63">
        <f t="shared" si="0"/>
        <v>10228.06</v>
      </c>
      <c r="K6" s="63">
        <f t="shared" si="0"/>
        <v>12099.28</v>
      </c>
    </row>
    <row r="7" spans="1:20" x14ac:dyDescent="0.25">
      <c r="A7" s="91"/>
      <c r="B7" s="92" t="s">
        <v>229</v>
      </c>
      <c r="C7" s="88"/>
      <c r="D7" s="64">
        <f>'P&amp;L'!D4-'P&amp;L'!D5+'P&amp;L'!D6</f>
        <v>276.85000000000002</v>
      </c>
      <c r="E7" s="64">
        <f>'P&amp;L'!E4-'P&amp;L'!E5+'P&amp;L'!E6</f>
        <v>235.94</v>
      </c>
      <c r="F7" s="64">
        <f>'P&amp;L'!F4-'P&amp;L'!F5+'P&amp;L'!F6</f>
        <v>245.98</v>
      </c>
      <c r="G7" s="64">
        <f>'P&amp;L'!G4-'P&amp;L'!G5+'P&amp;L'!G6</f>
        <v>121.13</v>
      </c>
      <c r="H7" s="64">
        <f>'P&amp;L'!H4-'P&amp;L'!H5+'P&amp;L'!H6</f>
        <v>124.54000000000002</v>
      </c>
      <c r="I7" s="64">
        <f>'P&amp;L'!I4-'P&amp;L'!I5+'P&amp;L'!I6</f>
        <v>47.759999999999991</v>
      </c>
      <c r="J7" s="64">
        <f>'P&amp;L'!J4-'P&amp;L'!J5+'P&amp;L'!J6</f>
        <v>98.100000000000009</v>
      </c>
      <c r="K7" s="64">
        <f>'P&amp;L'!K4-'P&amp;L'!K5+'P&amp;L'!K6</f>
        <v>794.01</v>
      </c>
    </row>
    <row r="8" spans="1:20" x14ac:dyDescent="0.25">
      <c r="A8" s="88"/>
      <c r="B8" s="89" t="s">
        <v>230</v>
      </c>
      <c r="C8" s="88"/>
      <c r="D8" s="63">
        <f>D6-D7</f>
        <v>10056.439999999995</v>
      </c>
      <c r="E8" s="63">
        <f t="shared" ref="E8:K8" si="1">E6-E7</f>
        <v>10259.939999999997</v>
      </c>
      <c r="F8" s="63">
        <f t="shared" si="1"/>
        <v>11362.079999999998</v>
      </c>
      <c r="G8" s="63">
        <f t="shared" si="1"/>
        <v>12635.909999999998</v>
      </c>
      <c r="H8" s="63">
        <f t="shared" si="1"/>
        <v>11843.339999999998</v>
      </c>
      <c r="I8" s="63">
        <f t="shared" si="1"/>
        <v>7678.9199999999992</v>
      </c>
      <c r="J8" s="63">
        <f t="shared" si="1"/>
        <v>10129.959999999999</v>
      </c>
      <c r="K8" s="63">
        <f t="shared" si="1"/>
        <v>11305.27</v>
      </c>
    </row>
    <row r="9" spans="1:20" x14ac:dyDescent="0.25">
      <c r="A9" s="88" t="s">
        <v>186</v>
      </c>
      <c r="B9" s="93"/>
      <c r="C9" s="88"/>
      <c r="D9" s="64"/>
      <c r="E9" s="64"/>
      <c r="F9" s="64"/>
      <c r="G9" s="64"/>
      <c r="H9" s="64"/>
      <c r="I9" s="64"/>
      <c r="J9" s="64"/>
      <c r="K9" s="64"/>
    </row>
    <row r="10" spans="1:20" x14ac:dyDescent="0.25">
      <c r="A10" s="91">
        <v>1</v>
      </c>
      <c r="B10" s="92" t="s">
        <v>136</v>
      </c>
      <c r="C10" s="91"/>
      <c r="D10" s="65">
        <f>(18.5%*1.1*1.03)</f>
        <v>0.20960500000000001</v>
      </c>
      <c r="E10" s="65">
        <f>(18.5%*1.12*1.03)</f>
        <v>0.21341600000000002</v>
      </c>
      <c r="F10" s="65">
        <f>(18.5%*1.12*1.03)</f>
        <v>0.21341600000000002</v>
      </c>
      <c r="G10" s="65">
        <f>(18.5%*1.12*1.03)</f>
        <v>0.21341600000000002</v>
      </c>
      <c r="H10" s="65">
        <f>(18.5%*1.12*1.04)</f>
        <v>0.21548800000000004</v>
      </c>
      <c r="I10" s="65">
        <f>(15%*1.12*1.04)</f>
        <v>0.17472000000000001</v>
      </c>
      <c r="J10" s="65">
        <f>(15%*1.12*1.04)</f>
        <v>0.17472000000000001</v>
      </c>
      <c r="K10" s="65">
        <f>(15%*1.12*1.04)</f>
        <v>0.17472000000000001</v>
      </c>
    </row>
    <row r="11" spans="1:20" x14ac:dyDescent="0.25">
      <c r="A11" s="91">
        <v>2</v>
      </c>
      <c r="B11" s="92" t="s">
        <v>231</v>
      </c>
      <c r="C11" s="91"/>
      <c r="D11" s="66">
        <f>'MAT schedl (abridged)'!C27*100</f>
        <v>11871.554409999999</v>
      </c>
      <c r="E11" s="66">
        <f>'MAT schedl (abridged)'!D27*100</f>
        <v>11694.735199999999</v>
      </c>
      <c r="F11" s="66">
        <f>'MAT schedl (abridged)'!E27*100</f>
        <v>18330.20406</v>
      </c>
      <c r="G11" s="66">
        <f>'MAT schedl (abridged)'!F27*100</f>
        <v>19598.603279999999</v>
      </c>
      <c r="H11" s="66">
        <f>'MAT schedl (abridged)'!G27*100</f>
        <v>18425.931060000003</v>
      </c>
      <c r="I11" s="66">
        <f>'MAT schedl (abridged)'!H27*100</f>
        <v>13918.53672</v>
      </c>
      <c r="J11" s="66">
        <f>'MAT schedl (abridged)'!I27*100</f>
        <v>16767.15567</v>
      </c>
      <c r="K11" s="66">
        <f>'MAT schedl (abridged)'!J27*100</f>
        <v>12695.576969999998</v>
      </c>
    </row>
    <row r="12" spans="1:20" x14ac:dyDescent="0.25">
      <c r="A12" s="91">
        <v>3</v>
      </c>
      <c r="B12" s="92" t="s">
        <v>181</v>
      </c>
      <c r="C12" s="91"/>
      <c r="D12" s="64">
        <v>0</v>
      </c>
      <c r="E12" s="64">
        <v>0</v>
      </c>
      <c r="F12" s="64">
        <v>0</v>
      </c>
      <c r="G12" s="64">
        <v>0</v>
      </c>
      <c r="H12" s="64">
        <v>0</v>
      </c>
      <c r="I12" s="64">
        <v>0</v>
      </c>
      <c r="J12" s="64">
        <v>0</v>
      </c>
      <c r="K12" s="64">
        <v>0</v>
      </c>
    </row>
    <row r="13" spans="1:20" s="6" customFormat="1" x14ac:dyDescent="0.25">
      <c r="A13" s="88">
        <v>4</v>
      </c>
      <c r="B13" s="89" t="s">
        <v>182</v>
      </c>
      <c r="C13" s="88"/>
      <c r="D13" s="63">
        <f t="shared" ref="D13:K13" si="2">D11+D12</f>
        <v>11871.554409999999</v>
      </c>
      <c r="E13" s="63">
        <f t="shared" si="2"/>
        <v>11694.735199999999</v>
      </c>
      <c r="F13" s="63">
        <f t="shared" si="2"/>
        <v>18330.20406</v>
      </c>
      <c r="G13" s="63">
        <f t="shared" si="2"/>
        <v>19598.603279999999</v>
      </c>
      <c r="H13" s="63">
        <f t="shared" si="2"/>
        <v>18425.931060000003</v>
      </c>
      <c r="I13" s="63">
        <f t="shared" si="2"/>
        <v>13918.53672</v>
      </c>
      <c r="J13" s="63">
        <f t="shared" si="2"/>
        <v>16767.15567</v>
      </c>
      <c r="K13" s="63">
        <f t="shared" si="2"/>
        <v>12695.576969999998</v>
      </c>
      <c r="L13"/>
      <c r="M13"/>
      <c r="N13"/>
      <c r="O13"/>
      <c r="P13"/>
      <c r="Q13"/>
      <c r="R13"/>
      <c r="S13"/>
      <c r="T13"/>
    </row>
    <row r="14" spans="1:20" x14ac:dyDescent="0.25">
      <c r="A14" s="91" t="s">
        <v>55</v>
      </c>
      <c r="B14" s="89" t="s">
        <v>227</v>
      </c>
      <c r="C14" s="88"/>
      <c r="D14" s="64">
        <f>D5</f>
        <v>1537.44</v>
      </c>
      <c r="E14" s="64">
        <f t="shared" ref="E14:K14" si="3">E5</f>
        <v>1196.0899999999999</v>
      </c>
      <c r="F14" s="64">
        <f t="shared" si="3"/>
        <v>1073.54</v>
      </c>
      <c r="G14" s="64">
        <f t="shared" si="3"/>
        <v>1120.2</v>
      </c>
      <c r="H14" s="64">
        <f t="shared" si="3"/>
        <v>850.17000000000007</v>
      </c>
      <c r="I14" s="64">
        <f t="shared" si="3"/>
        <v>574.71</v>
      </c>
      <c r="J14" s="64">
        <f t="shared" si="3"/>
        <v>904.0200000000001</v>
      </c>
      <c r="K14" s="64">
        <f t="shared" si="3"/>
        <v>527.76</v>
      </c>
    </row>
    <row r="15" spans="1:20" x14ac:dyDescent="0.25">
      <c r="A15" s="91"/>
      <c r="B15" s="92" t="s">
        <v>229</v>
      </c>
      <c r="C15" s="88"/>
      <c r="D15" s="64">
        <f>D7</f>
        <v>276.85000000000002</v>
      </c>
      <c r="E15" s="64">
        <f t="shared" ref="E15:K15" si="4">E7</f>
        <v>235.94</v>
      </c>
      <c r="F15" s="64">
        <f t="shared" si="4"/>
        <v>245.98</v>
      </c>
      <c r="G15" s="64">
        <f t="shared" si="4"/>
        <v>121.13</v>
      </c>
      <c r="H15" s="64">
        <f t="shared" si="4"/>
        <v>124.54000000000002</v>
      </c>
      <c r="I15" s="64">
        <f t="shared" si="4"/>
        <v>47.759999999999991</v>
      </c>
      <c r="J15" s="64">
        <f t="shared" si="4"/>
        <v>98.100000000000009</v>
      </c>
      <c r="K15" s="64">
        <f t="shared" si="4"/>
        <v>794.01</v>
      </c>
    </row>
    <row r="16" spans="1:20" x14ac:dyDescent="0.25">
      <c r="A16" s="91" t="s">
        <v>167</v>
      </c>
      <c r="B16" s="92" t="s">
        <v>232</v>
      </c>
      <c r="C16" s="91" t="s">
        <v>201</v>
      </c>
      <c r="D16" s="64">
        <f>D13-D14-D15</f>
        <v>10057.264409999998</v>
      </c>
      <c r="E16" s="64">
        <f t="shared" ref="E16:K16" si="5">E13-E14-E15</f>
        <v>10262.705199999999</v>
      </c>
      <c r="F16" s="64">
        <f t="shared" si="5"/>
        <v>17010.68406</v>
      </c>
      <c r="G16" s="64">
        <f t="shared" si="5"/>
        <v>18357.273279999998</v>
      </c>
      <c r="H16" s="64">
        <f t="shared" si="5"/>
        <v>17451.221060000003</v>
      </c>
      <c r="I16" s="64">
        <f t="shared" si="5"/>
        <v>13296.066720000001</v>
      </c>
      <c r="J16" s="64">
        <f t="shared" si="5"/>
        <v>15765.035669999999</v>
      </c>
      <c r="K16" s="64">
        <f t="shared" si="5"/>
        <v>11373.806969999998</v>
      </c>
    </row>
    <row r="17" spans="1:11" s="6" customFormat="1" x14ac:dyDescent="0.25">
      <c r="A17" s="88">
        <v>5</v>
      </c>
      <c r="B17" s="89" t="s">
        <v>208</v>
      </c>
      <c r="C17" s="88"/>
      <c r="D17" s="63">
        <f>D10*D13</f>
        <v>2488.3371621080501</v>
      </c>
      <c r="E17" s="63">
        <f>E10*E13</f>
        <v>2495.8436074432002</v>
      </c>
      <c r="F17" s="63">
        <f>F10*F13</f>
        <v>3911.9588296689603</v>
      </c>
      <c r="G17" s="63">
        <f>G10*G11</f>
        <v>4182.6555176044803</v>
      </c>
      <c r="H17" s="63">
        <f>H10*H13</f>
        <v>3970.5670322572814</v>
      </c>
      <c r="I17" s="63">
        <f>I10*I13</f>
        <v>2431.8467357184004</v>
      </c>
      <c r="J17" s="63">
        <f>J10*J13</f>
        <v>2929.5574386624003</v>
      </c>
      <c r="K17" s="63">
        <f>K10*K13</f>
        <v>2218.1712081983997</v>
      </c>
    </row>
    <row r="18" spans="1:11" x14ac:dyDescent="0.25">
      <c r="A18" s="91" t="s">
        <v>55</v>
      </c>
      <c r="B18" s="92" t="s">
        <v>166</v>
      </c>
      <c r="C18" s="91" t="s">
        <v>202</v>
      </c>
      <c r="D18" s="64">
        <f>D14*D10+D10*D15</f>
        <v>380.28425545000005</v>
      </c>
      <c r="E18" s="64">
        <f t="shared" ref="E18:K18" si="6">E14*E10+E10*E15</f>
        <v>305.61811448000003</v>
      </c>
      <c r="F18" s="64">
        <f t="shared" si="6"/>
        <v>281.60668032000001</v>
      </c>
      <c r="G18" s="64">
        <f t="shared" si="6"/>
        <v>264.91968328000007</v>
      </c>
      <c r="H18" s="64">
        <f t="shared" si="6"/>
        <v>210.03830848000007</v>
      </c>
      <c r="I18" s="64">
        <f t="shared" si="6"/>
        <v>108.75795840000002</v>
      </c>
      <c r="J18" s="64">
        <f t="shared" si="6"/>
        <v>175.09040640000001</v>
      </c>
      <c r="K18" s="64">
        <f t="shared" si="6"/>
        <v>230.93965439999999</v>
      </c>
    </row>
    <row r="19" spans="1:11" x14ac:dyDescent="0.25">
      <c r="A19" s="91" t="s">
        <v>167</v>
      </c>
      <c r="B19" s="92" t="s">
        <v>185</v>
      </c>
      <c r="C19" s="91" t="s">
        <v>203</v>
      </c>
      <c r="D19" s="64">
        <f>D17-D18</f>
        <v>2108.0529066580502</v>
      </c>
      <c r="E19" s="64">
        <f t="shared" ref="E19:K19" si="7">E17-E18</f>
        <v>2190.2254929631999</v>
      </c>
      <c r="F19" s="64">
        <f t="shared" si="7"/>
        <v>3630.3521493489602</v>
      </c>
      <c r="G19" s="64">
        <f t="shared" si="7"/>
        <v>3917.7358343244805</v>
      </c>
      <c r="H19" s="64">
        <f t="shared" si="7"/>
        <v>3760.5287237772814</v>
      </c>
      <c r="I19" s="64">
        <f t="shared" si="7"/>
        <v>2323.0887773184004</v>
      </c>
      <c r="J19" s="64">
        <f t="shared" si="7"/>
        <v>2754.4670322624002</v>
      </c>
      <c r="K19" s="64">
        <f t="shared" si="7"/>
        <v>1987.2315537983995</v>
      </c>
    </row>
    <row r="20" spans="1:11" x14ac:dyDescent="0.25">
      <c r="A20" s="88">
        <v>6</v>
      </c>
      <c r="B20" s="89" t="s">
        <v>137</v>
      </c>
      <c r="C20" s="88"/>
      <c r="D20" s="64"/>
      <c r="E20" s="64"/>
      <c r="F20" s="64"/>
      <c r="G20" s="64"/>
      <c r="H20" s="64"/>
      <c r="I20" s="64"/>
      <c r="J20" s="64"/>
      <c r="K20" s="64"/>
    </row>
    <row r="21" spans="1:11" x14ac:dyDescent="0.25">
      <c r="A21" s="94"/>
      <c r="B21" s="92" t="s">
        <v>205</v>
      </c>
      <c r="C21" s="91"/>
      <c r="D21" s="92"/>
      <c r="E21" s="92"/>
      <c r="F21" s="92"/>
      <c r="G21" s="92"/>
      <c r="H21" s="92"/>
      <c r="I21" s="92"/>
      <c r="J21" s="92"/>
      <c r="K21" s="92"/>
    </row>
    <row r="22" spans="1:11" x14ac:dyDescent="0.25">
      <c r="A22" s="91" t="s">
        <v>55</v>
      </c>
      <c r="B22" s="92" t="s">
        <v>170</v>
      </c>
      <c r="C22" s="91"/>
      <c r="D22" s="64">
        <v>0</v>
      </c>
      <c r="E22" s="64">
        <v>0</v>
      </c>
      <c r="F22" s="64">
        <v>0</v>
      </c>
      <c r="G22" s="64">
        <v>0</v>
      </c>
      <c r="H22" s="64">
        <v>0</v>
      </c>
      <c r="I22" s="64">
        <f>71116/10^5</f>
        <v>0.71116000000000001</v>
      </c>
      <c r="J22" s="64">
        <v>0</v>
      </c>
      <c r="K22" s="64"/>
    </row>
    <row r="23" spans="1:11" x14ac:dyDescent="0.25">
      <c r="A23" s="91" t="s">
        <v>167</v>
      </c>
      <c r="B23" s="92" t="s">
        <v>171</v>
      </c>
      <c r="C23" s="91"/>
      <c r="D23" s="64">
        <v>0</v>
      </c>
      <c r="E23" s="64">
        <v>0</v>
      </c>
      <c r="F23" s="64">
        <f>5438214/10^5</f>
        <v>54.38214</v>
      </c>
      <c r="G23" s="64">
        <v>0</v>
      </c>
      <c r="H23" s="64">
        <v>0</v>
      </c>
      <c r="I23" s="64"/>
      <c r="J23" s="64">
        <v>0</v>
      </c>
      <c r="K23" s="64"/>
    </row>
    <row r="24" spans="1:11" x14ac:dyDescent="0.25">
      <c r="A24" s="91" t="s">
        <v>168</v>
      </c>
      <c r="B24" s="92" t="s">
        <v>172</v>
      </c>
      <c r="C24" s="91"/>
      <c r="D24" s="64">
        <f>276804/10^5</f>
        <v>2.7680400000000001</v>
      </c>
      <c r="E24" s="64">
        <f>1219490/10^5</f>
        <v>12.194900000000001</v>
      </c>
      <c r="F24" s="64">
        <f>6993273/10^5</f>
        <v>69.932730000000006</v>
      </c>
      <c r="G24" s="64">
        <v>0</v>
      </c>
      <c r="H24" s="64">
        <v>0</v>
      </c>
      <c r="I24" s="64">
        <f>107377/10^5</f>
        <v>1.0737699999999999</v>
      </c>
      <c r="J24" s="64">
        <v>0</v>
      </c>
      <c r="K24" s="64">
        <f>350403/10^5</f>
        <v>3.5040300000000002</v>
      </c>
    </row>
    <row r="25" spans="1:11" x14ac:dyDescent="0.25">
      <c r="A25" s="91" t="s">
        <v>169</v>
      </c>
      <c r="B25" s="89" t="s">
        <v>177</v>
      </c>
      <c r="C25" s="91"/>
      <c r="D25" s="64">
        <f>SUM(D22:D24)</f>
        <v>2.7680400000000001</v>
      </c>
      <c r="E25" s="64">
        <f t="shared" ref="E25:K25" si="8">SUM(E22:E24)</f>
        <v>12.194900000000001</v>
      </c>
      <c r="F25" s="64">
        <f t="shared" si="8"/>
        <v>124.31487000000001</v>
      </c>
      <c r="G25" s="64">
        <f t="shared" si="8"/>
        <v>0</v>
      </c>
      <c r="H25" s="64">
        <f t="shared" si="8"/>
        <v>0</v>
      </c>
      <c r="I25" s="64">
        <f t="shared" si="8"/>
        <v>1.7849299999999999</v>
      </c>
      <c r="J25" s="64">
        <f t="shared" si="8"/>
        <v>0</v>
      </c>
      <c r="K25" s="64">
        <f t="shared" si="8"/>
        <v>3.5040300000000002</v>
      </c>
    </row>
    <row r="26" spans="1:11" x14ac:dyDescent="0.25">
      <c r="A26" s="91">
        <v>6</v>
      </c>
      <c r="B26" s="92" t="s">
        <v>138</v>
      </c>
      <c r="C26" s="91"/>
      <c r="D26" s="64">
        <v>0</v>
      </c>
      <c r="E26" s="64">
        <v>0</v>
      </c>
      <c r="F26" s="64">
        <v>0</v>
      </c>
      <c r="G26" s="64">
        <v>0</v>
      </c>
      <c r="H26" s="64">
        <v>0</v>
      </c>
      <c r="I26" s="64">
        <v>0</v>
      </c>
      <c r="J26" s="64">
        <v>0</v>
      </c>
      <c r="K26" s="64">
        <v>0</v>
      </c>
    </row>
    <row r="27" spans="1:11" x14ac:dyDescent="0.25">
      <c r="A27" s="91">
        <v>7</v>
      </c>
      <c r="B27" s="92" t="s">
        <v>183</v>
      </c>
      <c r="C27" s="91"/>
      <c r="D27" s="64">
        <f t="shared" ref="D27:K27" si="9">D17+D25+D26</f>
        <v>2491.10520210805</v>
      </c>
      <c r="E27" s="64">
        <f t="shared" si="9"/>
        <v>2508.0385074432002</v>
      </c>
      <c r="F27" s="64">
        <f t="shared" si="9"/>
        <v>4036.2736996689605</v>
      </c>
      <c r="G27" s="64">
        <f t="shared" si="9"/>
        <v>4182.6555176044803</v>
      </c>
      <c r="H27" s="64">
        <f t="shared" si="9"/>
        <v>3970.5670322572814</v>
      </c>
      <c r="I27" s="64">
        <f t="shared" si="9"/>
        <v>2433.6316657184002</v>
      </c>
      <c r="J27" s="64">
        <f t="shared" si="9"/>
        <v>2929.5574386624003</v>
      </c>
      <c r="K27" s="64">
        <f t="shared" si="9"/>
        <v>2221.6752381983997</v>
      </c>
    </row>
    <row r="28" spans="1:11" ht="30" x14ac:dyDescent="0.25">
      <c r="A28" s="91">
        <v>8</v>
      </c>
      <c r="B28" s="95" t="s">
        <v>139</v>
      </c>
      <c r="C28" s="96"/>
      <c r="D28" s="64"/>
      <c r="E28" s="64"/>
      <c r="F28" s="64"/>
      <c r="G28" s="64"/>
      <c r="H28" s="64"/>
      <c r="I28" s="64"/>
      <c r="J28" s="64"/>
      <c r="K28" s="64"/>
    </row>
    <row r="29" spans="1:11" x14ac:dyDescent="0.25">
      <c r="A29" s="91" t="s">
        <v>55</v>
      </c>
      <c r="B29" s="92" t="s">
        <v>173</v>
      </c>
      <c r="C29" s="91"/>
      <c r="D29" s="64">
        <v>0</v>
      </c>
      <c r="E29" s="64">
        <v>0</v>
      </c>
      <c r="F29" s="64">
        <v>0</v>
      </c>
      <c r="G29" s="64">
        <v>0</v>
      </c>
      <c r="H29" s="64">
        <v>0</v>
      </c>
      <c r="I29" s="64">
        <v>0</v>
      </c>
      <c r="J29" s="64">
        <v>0</v>
      </c>
      <c r="K29" s="64">
        <v>0</v>
      </c>
    </row>
    <row r="30" spans="1:11" x14ac:dyDescent="0.25">
      <c r="A30" s="91" t="s">
        <v>167</v>
      </c>
      <c r="B30" s="92" t="s">
        <v>174</v>
      </c>
      <c r="C30" s="91"/>
      <c r="D30" s="64">
        <v>0</v>
      </c>
      <c r="E30" s="64">
        <v>0</v>
      </c>
      <c r="F30" s="64">
        <v>0</v>
      </c>
      <c r="G30" s="64">
        <v>0</v>
      </c>
      <c r="H30" s="64">
        <v>0</v>
      </c>
      <c r="I30" s="64">
        <v>0</v>
      </c>
      <c r="J30" s="64">
        <v>0</v>
      </c>
      <c r="K30" s="64">
        <v>0</v>
      </c>
    </row>
    <row r="31" spans="1:11" x14ac:dyDescent="0.25">
      <c r="A31" s="91" t="s">
        <v>168</v>
      </c>
      <c r="B31" s="92" t="s">
        <v>175</v>
      </c>
      <c r="C31" s="91"/>
      <c r="D31" s="64">
        <v>0</v>
      </c>
      <c r="E31" s="64">
        <v>0</v>
      </c>
      <c r="F31" s="64">
        <v>0</v>
      </c>
      <c r="G31" s="64">
        <v>0</v>
      </c>
      <c r="H31" s="64">
        <v>0</v>
      </c>
      <c r="I31" s="64">
        <v>0</v>
      </c>
      <c r="J31" s="64">
        <v>0</v>
      </c>
      <c r="K31" s="64">
        <v>0</v>
      </c>
    </row>
    <row r="32" spans="1:11" x14ac:dyDescent="0.25">
      <c r="A32" s="91" t="s">
        <v>169</v>
      </c>
      <c r="B32" s="92" t="s">
        <v>176</v>
      </c>
      <c r="C32" s="91"/>
      <c r="D32" s="64">
        <v>0</v>
      </c>
      <c r="E32" s="64">
        <v>0</v>
      </c>
      <c r="F32" s="64">
        <v>0</v>
      </c>
      <c r="G32" s="64">
        <v>0</v>
      </c>
      <c r="H32" s="64">
        <v>0</v>
      </c>
      <c r="I32" s="64">
        <v>0</v>
      </c>
      <c r="J32" s="64">
        <v>0</v>
      </c>
      <c r="K32" s="64">
        <v>0</v>
      </c>
    </row>
    <row r="33" spans="1:19" x14ac:dyDescent="0.25">
      <c r="A33" s="91">
        <v>9</v>
      </c>
      <c r="B33" s="92" t="s">
        <v>184</v>
      </c>
      <c r="C33" s="91"/>
      <c r="D33" s="64">
        <f t="shared" ref="D33:K33" si="10">D19+D26</f>
        <v>2108.0529066580502</v>
      </c>
      <c r="E33" s="64">
        <f t="shared" si="10"/>
        <v>2190.2254929631999</v>
      </c>
      <c r="F33" s="64">
        <f t="shared" si="10"/>
        <v>3630.3521493489602</v>
      </c>
      <c r="G33" s="64">
        <f t="shared" si="10"/>
        <v>3917.7358343244805</v>
      </c>
      <c r="H33" s="64">
        <f t="shared" si="10"/>
        <v>3760.5287237772814</v>
      </c>
      <c r="I33" s="64">
        <f t="shared" si="10"/>
        <v>2323.0887773184004</v>
      </c>
      <c r="J33" s="64">
        <f t="shared" si="10"/>
        <v>2754.4670322624002</v>
      </c>
      <c r="K33" s="64">
        <f t="shared" si="10"/>
        <v>1987.2315537983995</v>
      </c>
    </row>
    <row r="34" spans="1:19" ht="60.75" customHeight="1" x14ac:dyDescent="0.25">
      <c r="A34" s="91">
        <v>10</v>
      </c>
      <c r="B34" s="95" t="s">
        <v>235</v>
      </c>
      <c r="C34" s="96" t="s">
        <v>178</v>
      </c>
      <c r="D34" s="51">
        <f>D33/(D6-D15)</f>
        <v>0.2096221830645886</v>
      </c>
      <c r="E34" s="51">
        <f t="shared" ref="E34:K34" si="11">E33/(E6-E15)</f>
        <v>0.2134735186524678</v>
      </c>
      <c r="F34" s="51">
        <f t="shared" si="11"/>
        <v>0.3195147498828525</v>
      </c>
      <c r="G34" s="51">
        <f t="shared" si="11"/>
        <v>0.31004777925171051</v>
      </c>
      <c r="H34" s="51">
        <f t="shared" si="11"/>
        <v>0.3175226518682468</v>
      </c>
      <c r="I34" s="51">
        <f t="shared" si="11"/>
        <v>0.30252806088856254</v>
      </c>
      <c r="J34" s="51">
        <f t="shared" si="11"/>
        <v>0.27191292288048524</v>
      </c>
      <c r="K34" s="51">
        <f t="shared" si="11"/>
        <v>0.17577922100032989</v>
      </c>
      <c r="L34" s="74"/>
      <c r="M34" s="74"/>
      <c r="N34" s="74"/>
      <c r="O34" s="74"/>
      <c r="P34" s="74"/>
      <c r="Q34" s="74"/>
      <c r="R34" s="74"/>
      <c r="S34" s="74"/>
    </row>
    <row r="35" spans="1:19" x14ac:dyDescent="0.25">
      <c r="A35" s="91"/>
      <c r="B35" s="95" t="s">
        <v>237</v>
      </c>
      <c r="C35" s="96"/>
      <c r="D35" s="80">
        <v>7249.8103499999997</v>
      </c>
      <c r="E35" s="80">
        <v>7254.4401999999991</v>
      </c>
      <c r="F35" s="80">
        <v>7250.7806500000006</v>
      </c>
      <c r="G35" s="80">
        <v>7248.4758000000002</v>
      </c>
      <c r="H35" s="80">
        <v>7251.4579999999996</v>
      </c>
      <c r="I35" s="80">
        <v>7261.4430999999995</v>
      </c>
      <c r="J35" s="80">
        <v>7277.4406500000005</v>
      </c>
      <c r="K35" s="80">
        <v>7284.5288</v>
      </c>
      <c r="L35" s="74"/>
      <c r="M35" s="74"/>
      <c r="N35" s="74"/>
      <c r="O35" s="74"/>
      <c r="P35" s="74"/>
      <c r="Q35" s="74"/>
      <c r="R35" s="74"/>
      <c r="S35" s="74"/>
    </row>
    <row r="36" spans="1:19" x14ac:dyDescent="0.25">
      <c r="A36" s="91"/>
      <c r="B36" s="93" t="s">
        <v>236</v>
      </c>
      <c r="C36" s="97"/>
      <c r="D36" s="98">
        <f>D35/(1-D34)</f>
        <v>9172.5883427627177</v>
      </c>
      <c r="E36" s="98">
        <f t="shared" ref="E36:K36" si="12">E35/(1-E34)</f>
        <v>9223.3896404494662</v>
      </c>
      <c r="F36" s="98">
        <f t="shared" si="12"/>
        <v>10655.309058869032</v>
      </c>
      <c r="G36" s="98">
        <f t="shared" si="12"/>
        <v>10505.764866063691</v>
      </c>
      <c r="H36" s="98">
        <f t="shared" si="12"/>
        <v>10625.199532043804</v>
      </c>
      <c r="I36" s="98">
        <f t="shared" si="12"/>
        <v>10411.089956179318</v>
      </c>
      <c r="J36" s="98">
        <f t="shared" si="12"/>
        <v>9995.2888585679648</v>
      </c>
      <c r="K36" s="98">
        <f t="shared" si="12"/>
        <v>8838.0795359721396</v>
      </c>
      <c r="L36" s="74"/>
      <c r="M36" s="74"/>
      <c r="N36" s="74"/>
      <c r="O36" s="74"/>
      <c r="P36" s="74"/>
      <c r="Q36" s="74"/>
      <c r="R36" s="74"/>
      <c r="S36" s="74"/>
    </row>
    <row r="37" spans="1:19" x14ac:dyDescent="0.25">
      <c r="A37" s="91"/>
      <c r="B37" s="93"/>
      <c r="C37" s="96"/>
      <c r="D37" s="51"/>
      <c r="E37" s="51"/>
      <c r="F37" s="51"/>
      <c r="G37" s="51"/>
      <c r="H37" s="51"/>
      <c r="I37" s="51"/>
      <c r="J37" s="51"/>
      <c r="K37" s="51"/>
      <c r="L37" s="81"/>
      <c r="M37" s="81"/>
      <c r="N37" s="81"/>
      <c r="O37" s="81"/>
      <c r="P37" s="81"/>
      <c r="Q37" s="81"/>
      <c r="R37" s="81"/>
      <c r="S37" s="81"/>
    </row>
    <row r="38" spans="1:19" x14ac:dyDescent="0.25">
      <c r="A38" s="91"/>
      <c r="B38" s="93" t="s">
        <v>215</v>
      </c>
      <c r="C38" s="96"/>
      <c r="D38" s="51"/>
      <c r="E38" s="51"/>
      <c r="F38" s="51"/>
      <c r="G38" s="51"/>
      <c r="H38" s="51"/>
      <c r="I38" s="51"/>
      <c r="J38" s="51"/>
      <c r="K38" s="51"/>
      <c r="L38" s="81"/>
      <c r="M38" s="81"/>
      <c r="N38" s="81"/>
      <c r="O38" s="81"/>
      <c r="P38" s="81"/>
      <c r="Q38" s="81"/>
      <c r="R38" s="81"/>
      <c r="S38" s="81"/>
    </row>
    <row r="39" spans="1:19" x14ac:dyDescent="0.25">
      <c r="A39" s="91"/>
      <c r="B39" s="95" t="s">
        <v>212</v>
      </c>
      <c r="C39" s="96"/>
      <c r="D39" s="80">
        <f>D10*((D10*(D13-D4))/(1-D10))</f>
        <v>4.5824986253326039E-2</v>
      </c>
      <c r="E39" s="80">
        <f t="shared" ref="E39:K39" si="13">E10*((E10*(E13-E4))/(1-E10))</f>
        <v>0.16011624317012041</v>
      </c>
      <c r="F39" s="80">
        <f t="shared" si="13"/>
        <v>327.07697860630435</v>
      </c>
      <c r="G39" s="80">
        <f t="shared" si="13"/>
        <v>331.29003117479169</v>
      </c>
      <c r="H39" s="80">
        <f t="shared" si="13"/>
        <v>331.92914224812091</v>
      </c>
      <c r="I39" s="80">
        <f t="shared" si="13"/>
        <v>207.77806114984358</v>
      </c>
      <c r="J39" s="80">
        <f t="shared" si="13"/>
        <v>208.44125238467254</v>
      </c>
      <c r="K39" s="80">
        <f t="shared" si="13"/>
        <v>2.5351801285483333</v>
      </c>
      <c r="L39" s="81"/>
      <c r="M39" s="81"/>
      <c r="N39" s="81"/>
      <c r="O39" s="81"/>
      <c r="P39" s="81"/>
      <c r="Q39" s="81"/>
      <c r="R39" s="81"/>
      <c r="S39" s="81"/>
    </row>
    <row r="40" spans="1:19" x14ac:dyDescent="0.25">
      <c r="A40" s="91"/>
      <c r="B40" s="95" t="s">
        <v>213</v>
      </c>
      <c r="C40" s="96"/>
      <c r="D40" s="80">
        <f>D10*(D35/(1-D10))</f>
        <v>1922.5785821162206</v>
      </c>
      <c r="E40" s="80">
        <f t="shared" ref="E40:K40" si="14">E10*(E35/(1-E10))</f>
        <v>1968.2749836294661</v>
      </c>
      <c r="F40" s="80">
        <f t="shared" si="14"/>
        <v>1967.282074387987</v>
      </c>
      <c r="G40" s="80">
        <f t="shared" si="14"/>
        <v>1966.6567224006594</v>
      </c>
      <c r="H40" s="80">
        <f t="shared" si="14"/>
        <v>1991.8142507750044</v>
      </c>
      <c r="I40" s="80">
        <f t="shared" si="14"/>
        <v>1537.3198652966266</v>
      </c>
      <c r="J40" s="80">
        <f t="shared" si="14"/>
        <v>1540.7067060488562</v>
      </c>
      <c r="K40" s="80">
        <f t="shared" si="14"/>
        <v>1542.2073380379993</v>
      </c>
      <c r="L40" s="81"/>
      <c r="M40" s="81"/>
      <c r="N40" s="81"/>
      <c r="O40" s="81"/>
      <c r="P40" s="81"/>
      <c r="Q40" s="81"/>
      <c r="R40" s="81"/>
      <c r="S40" s="81"/>
    </row>
    <row r="41" spans="1:19" x14ac:dyDescent="0.25">
      <c r="A41" s="91"/>
      <c r="B41" s="95" t="s">
        <v>211</v>
      </c>
      <c r="C41" s="96"/>
      <c r="D41" s="80">
        <f>D10*(D13-D4)</f>
        <v>0.17280045805060773</v>
      </c>
      <c r="E41" s="80">
        <f t="shared" ref="E41:K41" si="15">E10*(E13-E4)</f>
        <v>0.59013792320035041</v>
      </c>
      <c r="F41" s="80">
        <f t="shared" si="15"/>
        <v>1205.5024840689605</v>
      </c>
      <c r="G41" s="80">
        <f t="shared" si="15"/>
        <v>1221.0304657644804</v>
      </c>
      <c r="H41" s="80">
        <f t="shared" si="15"/>
        <v>1208.431073857281</v>
      </c>
      <c r="I41" s="80">
        <f t="shared" si="15"/>
        <v>981.42787491840022</v>
      </c>
      <c r="J41" s="80">
        <f t="shared" si="15"/>
        <v>984.56042106240011</v>
      </c>
      <c r="K41" s="80">
        <f t="shared" si="15"/>
        <v>11.974779398399544</v>
      </c>
      <c r="L41" s="81"/>
      <c r="M41" s="81"/>
      <c r="N41" s="81"/>
      <c r="O41" s="81"/>
      <c r="P41" s="81"/>
      <c r="Q41" s="81"/>
      <c r="R41" s="81"/>
      <c r="S41" s="81"/>
    </row>
    <row r="42" spans="1:19" x14ac:dyDescent="0.25">
      <c r="A42" s="91"/>
      <c r="B42" s="95" t="s">
        <v>214</v>
      </c>
      <c r="C42" s="96"/>
      <c r="D42" s="80">
        <f>D35</f>
        <v>7249.8103499999997</v>
      </c>
      <c r="E42" s="80">
        <f t="shared" ref="E42:K42" si="16">E35</f>
        <v>7254.4401999999991</v>
      </c>
      <c r="F42" s="80">
        <f t="shared" si="16"/>
        <v>7250.7806500000006</v>
      </c>
      <c r="G42" s="80">
        <f t="shared" si="16"/>
        <v>7248.4758000000002</v>
      </c>
      <c r="H42" s="80">
        <f t="shared" si="16"/>
        <v>7251.4579999999996</v>
      </c>
      <c r="I42" s="80">
        <f t="shared" si="16"/>
        <v>7261.4430999999995</v>
      </c>
      <c r="J42" s="80">
        <f t="shared" si="16"/>
        <v>7277.4406500000005</v>
      </c>
      <c r="K42" s="80">
        <f t="shared" si="16"/>
        <v>7284.5288</v>
      </c>
      <c r="L42" s="81"/>
      <c r="M42" s="81"/>
      <c r="N42" s="81"/>
      <c r="O42" s="81"/>
      <c r="P42" s="81"/>
      <c r="Q42" s="81"/>
      <c r="R42" s="81"/>
      <c r="S42" s="81"/>
    </row>
    <row r="43" spans="1:19" x14ac:dyDescent="0.25">
      <c r="A43" s="91"/>
      <c r="B43" s="93" t="s">
        <v>217</v>
      </c>
      <c r="C43" s="96"/>
      <c r="D43" s="98">
        <f>SUM(D39:D42)</f>
        <v>9172.6075575605246</v>
      </c>
      <c r="E43" s="98">
        <f t="shared" ref="E43:K43" si="17">SUM(E39:E42)</f>
        <v>9223.4654377958359</v>
      </c>
      <c r="F43" s="98">
        <f t="shared" si="17"/>
        <v>10750.642187063251</v>
      </c>
      <c r="G43" s="98">
        <f t="shared" si="17"/>
        <v>10767.453019339931</v>
      </c>
      <c r="H43" s="98">
        <f t="shared" si="17"/>
        <v>10783.632466880406</v>
      </c>
      <c r="I43" s="98">
        <f t="shared" si="17"/>
        <v>9987.9689013648695</v>
      </c>
      <c r="J43" s="98">
        <f t="shared" si="17"/>
        <v>10011.149029495929</v>
      </c>
      <c r="K43" s="98">
        <f t="shared" si="17"/>
        <v>8841.2460975649465</v>
      </c>
      <c r="L43" s="81"/>
      <c r="M43" s="81"/>
      <c r="N43" s="81"/>
      <c r="O43" s="81"/>
      <c r="P43" s="81"/>
      <c r="Q43" s="81"/>
      <c r="R43" s="81"/>
      <c r="S43" s="81"/>
    </row>
    <row r="44" spans="1:19" x14ac:dyDescent="0.25">
      <c r="A44" s="91"/>
      <c r="B44" s="93" t="s">
        <v>238</v>
      </c>
      <c r="C44" s="96"/>
      <c r="D44" s="98">
        <f>D43-D36</f>
        <v>1.9214797806853312E-2</v>
      </c>
      <c r="E44" s="98">
        <f t="shared" ref="E44:K44" si="18">E43-E36</f>
        <v>7.5797346369654406E-2</v>
      </c>
      <c r="F44" s="98">
        <f t="shared" si="18"/>
        <v>95.333128194219171</v>
      </c>
      <c r="G44" s="98">
        <f t="shared" si="18"/>
        <v>261.68815327623997</v>
      </c>
      <c r="H44" s="98">
        <f t="shared" si="18"/>
        <v>158.43293483660273</v>
      </c>
      <c r="I44" s="98">
        <f t="shared" si="18"/>
        <v>-423.12105481444814</v>
      </c>
      <c r="J44" s="98">
        <f t="shared" si="18"/>
        <v>15.860170927964646</v>
      </c>
      <c r="K44" s="98">
        <f t="shared" si="18"/>
        <v>3.1665615928068291</v>
      </c>
      <c r="L44" s="81"/>
      <c r="M44" s="81"/>
      <c r="N44" s="81"/>
      <c r="O44" s="81"/>
      <c r="P44" s="81"/>
      <c r="Q44" s="81"/>
      <c r="R44" s="81"/>
      <c r="S44" s="81"/>
    </row>
    <row r="45" spans="1:19" x14ac:dyDescent="0.25">
      <c r="A45" s="91"/>
      <c r="B45" s="93" t="s">
        <v>221</v>
      </c>
      <c r="C45" s="96"/>
      <c r="D45" s="51"/>
      <c r="E45" s="51"/>
      <c r="F45" s="51"/>
      <c r="G45" s="51"/>
      <c r="H45" s="51"/>
      <c r="I45" s="51"/>
      <c r="J45" s="51"/>
      <c r="K45" s="51"/>
      <c r="L45" s="81"/>
      <c r="M45" s="81"/>
      <c r="N45" s="81"/>
      <c r="O45" s="81"/>
      <c r="P45" s="81"/>
      <c r="Q45" s="81"/>
      <c r="R45" s="81"/>
      <c r="S45" s="81"/>
    </row>
    <row r="46" spans="1:19" x14ac:dyDescent="0.25">
      <c r="A46" s="91"/>
      <c r="B46" s="95" t="s">
        <v>219</v>
      </c>
      <c r="C46" s="96"/>
      <c r="D46" s="80">
        <f>D10*(D35/(1-D10))</f>
        <v>1922.5785821162206</v>
      </c>
      <c r="E46" s="80">
        <f t="shared" ref="E46:K46" si="19">E10*(E35/(1-E10))</f>
        <v>1968.2749836294661</v>
      </c>
      <c r="F46" s="80">
        <f t="shared" si="19"/>
        <v>1967.282074387987</v>
      </c>
      <c r="G46" s="80">
        <f t="shared" si="19"/>
        <v>1966.6567224006594</v>
      </c>
      <c r="H46" s="80">
        <f t="shared" si="19"/>
        <v>1991.8142507750044</v>
      </c>
      <c r="I46" s="80">
        <f t="shared" si="19"/>
        <v>1537.3198652966266</v>
      </c>
      <c r="J46" s="80">
        <f t="shared" si="19"/>
        <v>1540.7067060488562</v>
      </c>
      <c r="K46" s="80">
        <f t="shared" si="19"/>
        <v>1542.2073380379993</v>
      </c>
      <c r="L46" s="81"/>
      <c r="M46" s="81"/>
      <c r="N46" s="81"/>
      <c r="O46" s="81"/>
      <c r="P46" s="81"/>
      <c r="Q46" s="81"/>
      <c r="R46" s="81"/>
      <c r="S46" s="81"/>
    </row>
    <row r="47" spans="1:19" x14ac:dyDescent="0.25">
      <c r="A47" s="91"/>
      <c r="B47" s="95" t="s">
        <v>211</v>
      </c>
      <c r="C47" s="96"/>
      <c r="D47" s="80">
        <f t="shared" ref="D47:K47" si="20">D10*(D13-D4)</f>
        <v>0.17280045805060773</v>
      </c>
      <c r="E47" s="80">
        <f t="shared" si="20"/>
        <v>0.59013792320035041</v>
      </c>
      <c r="F47" s="80">
        <f t="shared" si="20"/>
        <v>1205.5024840689605</v>
      </c>
      <c r="G47" s="80">
        <f t="shared" si="20"/>
        <v>1221.0304657644804</v>
      </c>
      <c r="H47" s="80">
        <f t="shared" si="20"/>
        <v>1208.431073857281</v>
      </c>
      <c r="I47" s="80">
        <f t="shared" si="20"/>
        <v>981.42787491840022</v>
      </c>
      <c r="J47" s="80">
        <f t="shared" si="20"/>
        <v>984.56042106240011</v>
      </c>
      <c r="K47" s="80">
        <f t="shared" si="20"/>
        <v>11.974779398399544</v>
      </c>
      <c r="L47" s="81"/>
      <c r="M47" s="81"/>
      <c r="N47" s="81"/>
      <c r="O47" s="81"/>
      <c r="P47" s="81"/>
      <c r="Q47" s="81"/>
      <c r="R47" s="81"/>
      <c r="S47" s="81"/>
    </row>
    <row r="48" spans="1:19" x14ac:dyDescent="0.25">
      <c r="A48" s="91"/>
      <c r="B48" s="95" t="s">
        <v>214</v>
      </c>
      <c r="C48" s="96"/>
      <c r="D48" s="80">
        <f>D35/(1-D10)</f>
        <v>9172.3889321162205</v>
      </c>
      <c r="E48" s="80">
        <f t="shared" ref="E48:K48" si="21">E35/(1-E10)</f>
        <v>9222.7151836294652</v>
      </c>
      <c r="F48" s="80">
        <f t="shared" si="21"/>
        <v>9218.0627243879881</v>
      </c>
      <c r="G48" s="80">
        <f t="shared" si="21"/>
        <v>9215.1325224006596</v>
      </c>
      <c r="H48" s="80">
        <f t="shared" si="21"/>
        <v>9243.2722507750041</v>
      </c>
      <c r="I48" s="80">
        <f t="shared" si="21"/>
        <v>8798.7629652966261</v>
      </c>
      <c r="J48" s="80">
        <f t="shared" si="21"/>
        <v>8818.1473560488557</v>
      </c>
      <c r="K48" s="80">
        <f t="shared" si="21"/>
        <v>8826.7361380379989</v>
      </c>
      <c r="L48" s="81"/>
      <c r="M48" s="81"/>
      <c r="N48" s="81"/>
      <c r="O48" s="81"/>
      <c r="P48" s="81"/>
      <c r="Q48" s="81"/>
      <c r="R48" s="81"/>
      <c r="S48" s="81"/>
    </row>
    <row r="49" spans="1:19" x14ac:dyDescent="0.25">
      <c r="A49" s="91"/>
      <c r="B49" s="95" t="s">
        <v>216</v>
      </c>
      <c r="C49" s="96"/>
      <c r="D49" s="51">
        <f t="shared" ref="D49:K49" si="22">(D46+D47/(1-D10))/(D48+D47/(1-D10))</f>
        <v>0.20962383874971935</v>
      </c>
      <c r="E49" s="51">
        <f t="shared" si="22"/>
        <v>0.2134799822339207</v>
      </c>
      <c r="F49" s="51">
        <f t="shared" si="22"/>
        <v>0.32554906731755967</v>
      </c>
      <c r="G49" s="51">
        <f t="shared" si="22"/>
        <v>0.32681612011859534</v>
      </c>
      <c r="H49" s="51">
        <f t="shared" si="22"/>
        <v>0.32754959682914969</v>
      </c>
      <c r="I49" s="51">
        <f t="shared" si="22"/>
        <v>0.27298100627769145</v>
      </c>
      <c r="J49" s="51">
        <f t="shared" si="22"/>
        <v>0.27306639541990457</v>
      </c>
      <c r="K49" s="51">
        <f t="shared" si="22"/>
        <v>0.1760744221330631</v>
      </c>
      <c r="L49" s="81"/>
      <c r="M49" s="81"/>
      <c r="N49" s="81"/>
      <c r="O49" s="81"/>
      <c r="P49" s="81"/>
      <c r="Q49" s="81"/>
      <c r="R49" s="81"/>
      <c r="S49" s="81"/>
    </row>
    <row r="50" spans="1:19" x14ac:dyDescent="0.25">
      <c r="A50" s="91"/>
      <c r="B50" s="93" t="s">
        <v>239</v>
      </c>
      <c r="C50" s="96"/>
      <c r="D50" s="98">
        <f>D35/(1-D49)</f>
        <v>9172.6075575605246</v>
      </c>
      <c r="E50" s="98">
        <f t="shared" ref="E50:K50" si="23">E35/(1-E49)</f>
        <v>9223.4654377958359</v>
      </c>
      <c r="F50" s="98">
        <f t="shared" si="23"/>
        <v>10750.642187063251</v>
      </c>
      <c r="G50" s="98">
        <f t="shared" si="23"/>
        <v>10767.45301933993</v>
      </c>
      <c r="H50" s="98">
        <f t="shared" si="23"/>
        <v>10783.632466880406</v>
      </c>
      <c r="I50" s="98">
        <f t="shared" si="23"/>
        <v>9987.9689013648695</v>
      </c>
      <c r="J50" s="98">
        <f t="shared" si="23"/>
        <v>10011.149029495931</v>
      </c>
      <c r="K50" s="98">
        <f t="shared" si="23"/>
        <v>8841.2460975649483</v>
      </c>
      <c r="L50" s="81"/>
      <c r="M50" s="81"/>
      <c r="N50" s="81"/>
      <c r="O50" s="81"/>
      <c r="P50" s="81"/>
      <c r="Q50" s="81"/>
      <c r="R50" s="81"/>
      <c r="S50" s="81"/>
    </row>
    <row r="51" spans="1:19" x14ac:dyDescent="0.25">
      <c r="A51" s="91"/>
      <c r="B51" s="93" t="s">
        <v>240</v>
      </c>
      <c r="C51" s="96"/>
      <c r="D51" s="98">
        <f>D43-D50</f>
        <v>0</v>
      </c>
      <c r="E51" s="98">
        <f t="shared" ref="E51:K51" si="24">E43-E50</f>
        <v>0</v>
      </c>
      <c r="F51" s="98">
        <f t="shared" si="24"/>
        <v>0</v>
      </c>
      <c r="G51" s="98">
        <f t="shared" si="24"/>
        <v>0</v>
      </c>
      <c r="H51" s="98">
        <f t="shared" si="24"/>
        <v>0</v>
      </c>
      <c r="I51" s="98">
        <f t="shared" si="24"/>
        <v>0</v>
      </c>
      <c r="J51" s="98">
        <f t="shared" si="24"/>
        <v>0</v>
      </c>
      <c r="K51" s="98">
        <f t="shared" si="24"/>
        <v>0</v>
      </c>
      <c r="L51" s="81"/>
      <c r="M51" s="81"/>
      <c r="N51" s="81"/>
      <c r="O51" s="81"/>
      <c r="P51" s="81"/>
      <c r="Q51" s="81"/>
      <c r="R51" s="81"/>
      <c r="S51" s="81"/>
    </row>
    <row r="52" spans="1:19" x14ac:dyDescent="0.25">
      <c r="A52" s="30"/>
      <c r="B52" s="84"/>
      <c r="C52" s="73"/>
      <c r="D52" s="83"/>
      <c r="E52" s="83"/>
      <c r="F52" s="83"/>
      <c r="G52" s="83"/>
      <c r="H52" s="83"/>
      <c r="I52" s="83"/>
      <c r="J52" s="83"/>
      <c r="K52" s="83"/>
      <c r="L52" s="81"/>
      <c r="M52" s="81"/>
      <c r="N52" s="81"/>
      <c r="O52" s="81"/>
      <c r="P52" s="81"/>
      <c r="Q52" s="81"/>
      <c r="R52" s="81"/>
      <c r="S52" s="81"/>
    </row>
    <row r="53" spans="1:19" x14ac:dyDescent="0.25">
      <c r="A53" s="30"/>
      <c r="B53" s="84" t="s">
        <v>220</v>
      </c>
      <c r="C53" s="73"/>
      <c r="D53" s="83"/>
      <c r="E53" s="83"/>
      <c r="F53" s="83"/>
      <c r="G53" s="83"/>
      <c r="H53" s="83"/>
      <c r="I53" s="83"/>
      <c r="J53" s="83"/>
      <c r="K53" s="83"/>
      <c r="L53" s="81"/>
      <c r="M53" s="81"/>
      <c r="N53" s="81"/>
      <c r="O53" s="81"/>
      <c r="P53" s="81"/>
      <c r="Q53" s="81"/>
      <c r="R53" s="81"/>
      <c r="S53" s="81"/>
    </row>
    <row r="54" spans="1:19" x14ac:dyDescent="0.25">
      <c r="A54" s="30"/>
      <c r="B54" s="72" t="s">
        <v>216</v>
      </c>
      <c r="C54" s="73"/>
      <c r="D54" s="74">
        <f>(D35*D10+D41)/((D35+D41))</f>
        <v>0.20962383874971935</v>
      </c>
      <c r="E54" s="74">
        <f t="shared" ref="E54:K54" si="25">(E35*E10+E41)/((E35+E41))</f>
        <v>0.2134799822339207</v>
      </c>
      <c r="F54" s="74">
        <f t="shared" si="25"/>
        <v>0.32554906731755967</v>
      </c>
      <c r="G54" s="74">
        <f t="shared" si="25"/>
        <v>0.32681612011859534</v>
      </c>
      <c r="H54" s="74">
        <f t="shared" si="25"/>
        <v>0.32754959682914975</v>
      </c>
      <c r="I54" s="74">
        <f t="shared" si="25"/>
        <v>0.27298100627769145</v>
      </c>
      <c r="J54" s="74">
        <f t="shared" si="25"/>
        <v>0.27306639541990457</v>
      </c>
      <c r="K54" s="74">
        <f t="shared" si="25"/>
        <v>0.17607442213306307</v>
      </c>
      <c r="L54" s="81"/>
      <c r="M54" s="81"/>
      <c r="N54" s="81"/>
      <c r="O54" s="81"/>
      <c r="P54" s="81"/>
      <c r="Q54" s="81"/>
      <c r="R54" s="81"/>
      <c r="S54" s="81"/>
    </row>
    <row r="55" spans="1:19" x14ac:dyDescent="0.25">
      <c r="A55" s="30"/>
      <c r="B55" s="84" t="s">
        <v>218</v>
      </c>
      <c r="C55" s="85"/>
      <c r="D55" s="83">
        <f>D35/(1-D54)</f>
        <v>9172.6075575605246</v>
      </c>
      <c r="E55" s="83">
        <f t="shared" ref="E55:K55" si="26">E35/(1-E54)</f>
        <v>9223.4654377958359</v>
      </c>
      <c r="F55" s="83">
        <f t="shared" si="26"/>
        <v>10750.642187063251</v>
      </c>
      <c r="G55" s="83">
        <f t="shared" si="26"/>
        <v>10767.45301933993</v>
      </c>
      <c r="H55" s="83">
        <f t="shared" si="26"/>
        <v>10783.632466880406</v>
      </c>
      <c r="I55" s="83">
        <f t="shared" si="26"/>
        <v>9987.9689013648695</v>
      </c>
      <c r="J55" s="83">
        <f t="shared" si="26"/>
        <v>10011.149029495931</v>
      </c>
      <c r="K55" s="83">
        <f t="shared" si="26"/>
        <v>8841.2460975649465</v>
      </c>
      <c r="L55" s="81"/>
      <c r="M55" s="81"/>
      <c r="N55" s="81"/>
      <c r="O55" s="81"/>
      <c r="P55" s="81"/>
      <c r="Q55" s="81"/>
      <c r="R55" s="81"/>
      <c r="S55" s="81"/>
    </row>
    <row r="56" spans="1:19" x14ac:dyDescent="0.25">
      <c r="A56" s="30"/>
      <c r="B56" s="84" t="s">
        <v>222</v>
      </c>
      <c r="C56" s="73"/>
      <c r="D56" s="82"/>
      <c r="E56" s="82"/>
      <c r="F56" s="82"/>
      <c r="G56" s="82"/>
      <c r="H56" s="82"/>
      <c r="I56" s="82"/>
      <c r="J56" s="82"/>
      <c r="K56" s="82"/>
      <c r="L56" s="81"/>
      <c r="M56" s="81"/>
      <c r="N56" s="81"/>
      <c r="O56" s="81"/>
      <c r="P56" s="81"/>
      <c r="Q56" s="81"/>
      <c r="R56" s="81"/>
      <c r="S56" s="81"/>
    </row>
    <row r="57" spans="1:19" x14ac:dyDescent="0.25">
      <c r="A57" s="30"/>
      <c r="B57" s="72" t="s">
        <v>219</v>
      </c>
      <c r="C57" s="73"/>
      <c r="D57" s="82">
        <f>D10*(D35/(1-D10))</f>
        <v>1922.5785821162206</v>
      </c>
      <c r="E57" s="82">
        <f t="shared" ref="E57:K57" si="27">E10*(E35/(1-E10))</f>
        <v>1968.2749836294661</v>
      </c>
      <c r="F57" s="82">
        <f t="shared" si="27"/>
        <v>1967.282074387987</v>
      </c>
      <c r="G57" s="82">
        <f t="shared" si="27"/>
        <v>1966.6567224006594</v>
      </c>
      <c r="H57" s="82">
        <f t="shared" si="27"/>
        <v>1991.8142507750044</v>
      </c>
      <c r="I57" s="82">
        <f t="shared" si="27"/>
        <v>1537.3198652966266</v>
      </c>
      <c r="J57" s="82">
        <f t="shared" si="27"/>
        <v>1540.7067060488562</v>
      </c>
      <c r="K57" s="82">
        <f t="shared" si="27"/>
        <v>1542.2073380379993</v>
      </c>
      <c r="L57" s="81"/>
      <c r="M57" s="81"/>
      <c r="N57" s="81"/>
      <c r="O57" s="81"/>
      <c r="P57" s="81"/>
      <c r="Q57" s="81"/>
      <c r="R57" s="81"/>
      <c r="S57" s="81"/>
    </row>
    <row r="58" spans="1:19" x14ac:dyDescent="0.25">
      <c r="A58" s="30"/>
      <c r="B58" s="72" t="s">
        <v>211</v>
      </c>
      <c r="C58" s="73"/>
      <c r="D58" s="82">
        <f t="shared" ref="D58:K58" si="28">D10*(D13-D4)</f>
        <v>0.17280045805060773</v>
      </c>
      <c r="E58" s="82">
        <f t="shared" si="28"/>
        <v>0.59013792320035041</v>
      </c>
      <c r="F58" s="82">
        <f t="shared" si="28"/>
        <v>1205.5024840689605</v>
      </c>
      <c r="G58" s="82">
        <f t="shared" si="28"/>
        <v>1221.0304657644804</v>
      </c>
      <c r="H58" s="82">
        <f t="shared" si="28"/>
        <v>1208.431073857281</v>
      </c>
      <c r="I58" s="82">
        <f t="shared" si="28"/>
        <v>981.42787491840022</v>
      </c>
      <c r="J58" s="82">
        <f t="shared" si="28"/>
        <v>984.56042106240011</v>
      </c>
      <c r="K58" s="82">
        <f t="shared" si="28"/>
        <v>11.974779398399544</v>
      </c>
      <c r="L58" s="81"/>
      <c r="M58" s="81"/>
      <c r="N58" s="81"/>
      <c r="O58" s="81"/>
      <c r="P58" s="81"/>
      <c r="Q58" s="81"/>
      <c r="R58" s="81"/>
      <c r="S58" s="81"/>
    </row>
    <row r="59" spans="1:19" ht="15.75" customHeight="1" x14ac:dyDescent="0.25">
      <c r="A59" s="30"/>
      <c r="B59" s="86" t="s">
        <v>223</v>
      </c>
      <c r="C59" s="73"/>
      <c r="D59" s="82">
        <f>D6-D15-(D35/(1-D10))</f>
        <v>884.05106788377452</v>
      </c>
      <c r="E59" s="82">
        <f t="shared" ref="E59:K59" si="29">E6-E15-(E35/(1-E10))</f>
        <v>1037.2248163705317</v>
      </c>
      <c r="F59" s="82">
        <f t="shared" si="29"/>
        <v>2144.0172756120101</v>
      </c>
      <c r="G59" s="82">
        <f t="shared" si="29"/>
        <v>3420.7774775993385</v>
      </c>
      <c r="H59" s="82">
        <f t="shared" si="29"/>
        <v>2600.0677492249943</v>
      </c>
      <c r="I59" s="82">
        <f t="shared" si="29"/>
        <v>-1119.842965296627</v>
      </c>
      <c r="J59" s="82">
        <f t="shared" si="29"/>
        <v>1311.8126439511434</v>
      </c>
      <c r="K59" s="82">
        <f t="shared" si="29"/>
        <v>2478.5338619620015</v>
      </c>
      <c r="L59" s="81"/>
      <c r="M59" s="81"/>
      <c r="N59" s="81"/>
      <c r="O59" s="81"/>
      <c r="P59" s="81"/>
      <c r="Q59" s="81"/>
      <c r="R59" s="81"/>
      <c r="S59" s="81"/>
    </row>
    <row r="60" spans="1:19" x14ac:dyDescent="0.25">
      <c r="A60" s="30"/>
      <c r="B60" s="72" t="s">
        <v>216</v>
      </c>
      <c r="C60" s="73"/>
      <c r="D60" s="74">
        <f t="shared" ref="D60:K60" si="30">(D57+D58/(1-D10))/(D8-D59+D58/(1-D10))</f>
        <v>0.20962383874971935</v>
      </c>
      <c r="E60" s="74">
        <f t="shared" si="30"/>
        <v>0.2134799822339207</v>
      </c>
      <c r="F60" s="74">
        <f t="shared" si="30"/>
        <v>0.32554906731755967</v>
      </c>
      <c r="G60" s="74">
        <f t="shared" si="30"/>
        <v>0.32681612011859534</v>
      </c>
      <c r="H60" s="74">
        <f t="shared" si="30"/>
        <v>0.32754959682914969</v>
      </c>
      <c r="I60" s="74">
        <f t="shared" si="30"/>
        <v>0.27298100627769145</v>
      </c>
      <c r="J60" s="74">
        <f t="shared" si="30"/>
        <v>0.27306639541990457</v>
      </c>
      <c r="K60" s="74">
        <f t="shared" si="30"/>
        <v>0.1760744221330631</v>
      </c>
      <c r="L60" s="81"/>
      <c r="M60" s="81"/>
      <c r="N60" s="81"/>
      <c r="O60" s="81"/>
      <c r="P60" s="81"/>
      <c r="Q60" s="81"/>
      <c r="R60" s="81"/>
      <c r="S60" s="81"/>
    </row>
    <row r="61" spans="1:19" x14ac:dyDescent="0.25">
      <c r="A61" s="30"/>
      <c r="B61" s="84" t="s">
        <v>224</v>
      </c>
      <c r="C61" s="73"/>
      <c r="D61" s="82"/>
      <c r="E61" s="82"/>
      <c r="F61" s="82"/>
      <c r="G61" s="82"/>
      <c r="H61" s="82"/>
      <c r="I61" s="82"/>
      <c r="J61" s="82"/>
      <c r="K61" s="82"/>
      <c r="L61" s="81"/>
      <c r="M61" s="81"/>
      <c r="N61" s="81"/>
      <c r="O61" s="81"/>
      <c r="P61" s="81"/>
      <c r="Q61" s="81"/>
      <c r="R61" s="81"/>
      <c r="S61" s="81"/>
    </row>
    <row r="62" spans="1:19" x14ac:dyDescent="0.25">
      <c r="A62" s="30"/>
      <c r="B62" s="72" t="s">
        <v>225</v>
      </c>
      <c r="C62" s="73"/>
      <c r="D62" s="82">
        <f>D35</f>
        <v>7249.8103499999997</v>
      </c>
      <c r="E62" s="82">
        <f t="shared" ref="E62:K62" si="31">E35</f>
        <v>7254.4401999999991</v>
      </c>
      <c r="F62" s="82">
        <f t="shared" si="31"/>
        <v>7250.7806500000006</v>
      </c>
      <c r="G62" s="82">
        <f t="shared" si="31"/>
        <v>7248.4758000000002</v>
      </c>
      <c r="H62" s="82">
        <f t="shared" si="31"/>
        <v>7251.4579999999996</v>
      </c>
      <c r="I62" s="82">
        <f t="shared" si="31"/>
        <v>7261.4430999999995</v>
      </c>
      <c r="J62" s="82">
        <f t="shared" si="31"/>
        <v>7277.4406500000005</v>
      </c>
      <c r="K62" s="82">
        <f t="shared" si="31"/>
        <v>7284.5288</v>
      </c>
      <c r="L62" s="81"/>
      <c r="M62" s="81"/>
      <c r="N62" s="81"/>
      <c r="O62" s="81"/>
      <c r="P62" s="81"/>
      <c r="Q62" s="81"/>
      <c r="R62" s="81"/>
      <c r="S62" s="81"/>
    </row>
    <row r="63" spans="1:19" x14ac:dyDescent="0.25">
      <c r="A63" s="30"/>
      <c r="B63" s="72" t="s">
        <v>226</v>
      </c>
      <c r="C63" s="73"/>
      <c r="D63" s="82">
        <f t="shared" ref="D63:K63" si="32">D13-D4</f>
        <v>0.82441000000289932</v>
      </c>
      <c r="E63" s="82">
        <f t="shared" si="32"/>
        <v>2.7652000000016415</v>
      </c>
      <c r="F63" s="82">
        <f t="shared" si="32"/>
        <v>5648.6040600000015</v>
      </c>
      <c r="G63" s="82">
        <f t="shared" si="32"/>
        <v>5721.3632800000014</v>
      </c>
      <c r="H63" s="82">
        <f t="shared" si="32"/>
        <v>5607.8810600000033</v>
      </c>
      <c r="I63" s="82">
        <f t="shared" si="32"/>
        <v>5617.1467200000006</v>
      </c>
      <c r="J63" s="82">
        <f t="shared" si="32"/>
        <v>5635.0756700000002</v>
      </c>
      <c r="K63" s="82">
        <f t="shared" si="32"/>
        <v>68.536969999997382</v>
      </c>
      <c r="L63" s="81"/>
      <c r="M63" s="81"/>
      <c r="N63" s="81"/>
      <c r="O63" s="81"/>
      <c r="P63" s="81"/>
      <c r="Q63" s="81"/>
      <c r="R63" s="81"/>
      <c r="S63" s="81"/>
    </row>
    <row r="64" spans="1:19" x14ac:dyDescent="0.25">
      <c r="A64" s="30"/>
      <c r="B64" s="72" t="s">
        <v>216</v>
      </c>
      <c r="C64" s="74" t="s">
        <v>387</v>
      </c>
      <c r="D64" s="74">
        <f t="shared" ref="D64:K64" si="33">((D62+D63)/(1-D10)*D10/(D62+(D62+D63)/(1-D10)*D10))</f>
        <v>0.20962383874971935</v>
      </c>
      <c r="E64" s="74">
        <f t="shared" si="33"/>
        <v>0.2134799822339207</v>
      </c>
      <c r="F64" s="74">
        <f t="shared" si="33"/>
        <v>0.32554906731755967</v>
      </c>
      <c r="G64" s="74">
        <f t="shared" si="33"/>
        <v>0.3268161201185954</v>
      </c>
      <c r="H64" s="74">
        <f t="shared" si="33"/>
        <v>0.32754959682914975</v>
      </c>
      <c r="I64" s="74">
        <f t="shared" si="33"/>
        <v>0.27298100627769145</v>
      </c>
      <c r="J64" s="74">
        <f t="shared" si="33"/>
        <v>0.27306639541990452</v>
      </c>
      <c r="K64" s="74">
        <f t="shared" si="33"/>
        <v>0.1760744221330631</v>
      </c>
      <c r="L64" s="81"/>
      <c r="M64" s="81"/>
      <c r="N64" s="81"/>
      <c r="O64" s="81"/>
      <c r="P64" s="81"/>
      <c r="Q64" s="81"/>
      <c r="R64" s="81"/>
      <c r="S64" s="81"/>
    </row>
    <row r="65" spans="1:19" x14ac:dyDescent="0.25">
      <c r="A65" s="30"/>
      <c r="B65" s="72"/>
      <c r="C65" s="73"/>
      <c r="D65" s="82"/>
      <c r="E65" s="82"/>
      <c r="F65" s="82"/>
      <c r="G65" s="82"/>
      <c r="H65" s="82"/>
      <c r="I65" s="82"/>
      <c r="J65" s="82"/>
      <c r="K65" s="82"/>
      <c r="L65" s="81"/>
      <c r="M65" s="81"/>
      <c r="N65" s="81"/>
      <c r="O65" s="81"/>
      <c r="P65" s="81"/>
      <c r="Q65" s="81"/>
      <c r="R65" s="81"/>
      <c r="S65" s="81"/>
    </row>
    <row r="66" spans="1:19" x14ac:dyDescent="0.25">
      <c r="A66" s="30">
        <v>11</v>
      </c>
      <c r="B66" s="69" t="s">
        <v>187</v>
      </c>
      <c r="C66" s="68"/>
      <c r="D66" s="62">
        <f>D35</f>
        <v>7249.8103499999997</v>
      </c>
      <c r="E66" s="62">
        <f t="shared" ref="E66:K66" si="34">E35</f>
        <v>7254.4401999999991</v>
      </c>
      <c r="F66" s="62">
        <f t="shared" si="34"/>
        <v>7250.7806500000006</v>
      </c>
      <c r="G66" s="62">
        <f t="shared" si="34"/>
        <v>7248.4758000000002</v>
      </c>
      <c r="H66" s="62">
        <f t="shared" si="34"/>
        <v>7251.4579999999996</v>
      </c>
      <c r="I66" s="62">
        <f t="shared" si="34"/>
        <v>7261.4430999999995</v>
      </c>
      <c r="J66" s="62">
        <f t="shared" si="34"/>
        <v>7277.4406500000005</v>
      </c>
      <c r="K66" s="62">
        <f t="shared" si="34"/>
        <v>7284.5288</v>
      </c>
    </row>
    <row r="67" spans="1:19" x14ac:dyDescent="0.25">
      <c r="A67" s="30">
        <v>12</v>
      </c>
      <c r="B67" s="69" t="s">
        <v>188</v>
      </c>
      <c r="C67" s="9" t="s">
        <v>180</v>
      </c>
      <c r="D67" s="67">
        <f t="shared" ref="D67:K67" si="35">D66/(1-D34)</f>
        <v>9172.5883427627177</v>
      </c>
      <c r="E67" s="67">
        <f t="shared" si="35"/>
        <v>9223.3896404494662</v>
      </c>
      <c r="F67" s="67">
        <f t="shared" si="35"/>
        <v>10655.309058869032</v>
      </c>
      <c r="G67" s="67">
        <f t="shared" si="35"/>
        <v>10505.764866063691</v>
      </c>
      <c r="H67" s="67">
        <f t="shared" si="35"/>
        <v>10625.199532043804</v>
      </c>
      <c r="I67" s="67">
        <f t="shared" si="35"/>
        <v>10411.089956179318</v>
      </c>
      <c r="J67" s="67">
        <f t="shared" si="35"/>
        <v>9995.2888585679648</v>
      </c>
      <c r="K67" s="67">
        <f t="shared" si="35"/>
        <v>8838.0795359721396</v>
      </c>
    </row>
    <row r="68" spans="1:19" x14ac:dyDescent="0.25">
      <c r="A68" s="9">
        <v>13</v>
      </c>
      <c r="B68" s="4" t="s">
        <v>179</v>
      </c>
      <c r="D68" s="67">
        <f>D66/(1-D10)</f>
        <v>9172.3889321162205</v>
      </c>
      <c r="E68" s="67">
        <f t="shared" ref="E68:K68" si="36">E66/(1-E10)</f>
        <v>9222.7151836294652</v>
      </c>
      <c r="F68" s="67">
        <f t="shared" si="36"/>
        <v>9218.0627243879881</v>
      </c>
      <c r="G68" s="67">
        <f t="shared" si="36"/>
        <v>9215.1325224006596</v>
      </c>
      <c r="H68" s="67">
        <f t="shared" si="36"/>
        <v>9243.2722507750041</v>
      </c>
      <c r="I68" s="67">
        <f t="shared" si="36"/>
        <v>8798.7629652966261</v>
      </c>
      <c r="J68" s="67">
        <f t="shared" si="36"/>
        <v>8818.1473560488557</v>
      </c>
      <c r="K68" s="67">
        <f t="shared" si="36"/>
        <v>8826.7361380379989</v>
      </c>
    </row>
    <row r="69" spans="1:19" x14ac:dyDescent="0.25">
      <c r="A69" s="10">
        <v>14</v>
      </c>
      <c r="B69" s="75" t="s">
        <v>189</v>
      </c>
      <c r="C69" s="76"/>
      <c r="D69" s="77">
        <f>D67-D68</f>
        <v>0.1994106464971992</v>
      </c>
      <c r="E69" s="77">
        <f t="shared" ref="E69:K69" si="37">E67-E68</f>
        <v>0.67445682000106899</v>
      </c>
      <c r="F69" s="77">
        <f t="shared" si="37"/>
        <v>1437.246334481044</v>
      </c>
      <c r="G69" s="77">
        <f t="shared" si="37"/>
        <v>1290.6323436630319</v>
      </c>
      <c r="H69" s="77">
        <f t="shared" si="37"/>
        <v>1381.9272812687996</v>
      </c>
      <c r="I69" s="77">
        <f t="shared" si="37"/>
        <v>1612.3269908826915</v>
      </c>
      <c r="J69" s="77">
        <f t="shared" si="37"/>
        <v>1177.1415025191091</v>
      </c>
      <c r="K69" s="77">
        <f t="shared" si="37"/>
        <v>11.343397934140739</v>
      </c>
    </row>
    <row r="70" spans="1:19" x14ac:dyDescent="0.25">
      <c r="A70" s="9">
        <v>15</v>
      </c>
      <c r="B70" s="70"/>
      <c r="D70" s="67"/>
      <c r="E70" s="67"/>
      <c r="F70" s="67"/>
      <c r="G70" s="67"/>
      <c r="H70" s="67"/>
      <c r="I70" s="67"/>
      <c r="J70" s="67"/>
      <c r="K70" s="67"/>
    </row>
    <row r="71" spans="1:19" x14ac:dyDescent="0.25">
      <c r="B71" s="70"/>
      <c r="D71" s="67"/>
      <c r="E71" s="67"/>
      <c r="F71" s="67"/>
      <c r="G71" s="67"/>
      <c r="H71" s="67"/>
      <c r="I71" s="67"/>
      <c r="J71" s="67"/>
      <c r="K71" s="67"/>
    </row>
    <row r="72" spans="1:19" x14ac:dyDescent="0.25">
      <c r="D72" s="1"/>
      <c r="E72" s="1"/>
      <c r="F72" s="1"/>
      <c r="G72" s="1"/>
      <c r="H72" s="1"/>
      <c r="I72" s="1"/>
      <c r="J72" s="1"/>
      <c r="K72" s="1"/>
    </row>
    <row r="73" spans="1:19" x14ac:dyDescent="0.25">
      <c r="C73" s="79"/>
      <c r="D73" s="1"/>
      <c r="E73" s="1"/>
      <c r="F73" s="1"/>
      <c r="G73" s="1"/>
      <c r="H73" s="1"/>
      <c r="I73" s="1"/>
      <c r="J73" s="1"/>
      <c r="K73" s="1"/>
      <c r="L73" s="1"/>
    </row>
    <row r="74" spans="1:19" x14ac:dyDescent="0.25">
      <c r="C74" s="79"/>
      <c r="D74" s="1"/>
      <c r="E74" s="1"/>
      <c r="F74" s="1"/>
      <c r="G74" s="1"/>
      <c r="H74" s="1"/>
      <c r="I74" s="1"/>
      <c r="J74" s="1"/>
      <c r="K74" s="1"/>
      <c r="L74" s="1"/>
    </row>
    <row r="75" spans="1:19" x14ac:dyDescent="0.25">
      <c r="C75" s="79"/>
      <c r="D75" s="1"/>
      <c r="E75" s="1"/>
      <c r="F75" s="1"/>
      <c r="G75" s="1"/>
      <c r="H75" s="1"/>
      <c r="I75" s="1"/>
      <c r="J75" s="1"/>
      <c r="K75" s="1"/>
      <c r="L75" s="1"/>
    </row>
    <row r="76" spans="1:19" x14ac:dyDescent="0.25">
      <c r="C76" s="79"/>
      <c r="D76" s="1"/>
      <c r="E76" s="1"/>
      <c r="F76" s="1"/>
      <c r="G76" s="1"/>
      <c r="H76" s="1"/>
      <c r="I76" s="1"/>
      <c r="J76" s="1"/>
      <c r="K76" s="1"/>
      <c r="L76" s="1"/>
    </row>
    <row r="77" spans="1:19" x14ac:dyDescent="0.25">
      <c r="C77" s="79"/>
      <c r="D77" s="1"/>
      <c r="E77" s="1"/>
      <c r="F77" s="1"/>
      <c r="G77" s="1"/>
      <c r="H77" s="1"/>
      <c r="I77" s="1"/>
      <c r="J77" s="1"/>
      <c r="K77" s="1"/>
      <c r="L77" s="1"/>
    </row>
    <row r="78" spans="1:19" x14ac:dyDescent="0.25">
      <c r="D78" s="1"/>
      <c r="E78" s="1"/>
      <c r="F78" s="1"/>
      <c r="G78" s="1"/>
      <c r="H78" s="1"/>
      <c r="I78" s="1"/>
      <c r="J78" s="1"/>
      <c r="K78" s="1"/>
    </row>
    <row r="79" spans="1:19" x14ac:dyDescent="0.25">
      <c r="D79" s="1"/>
      <c r="E79" s="1"/>
      <c r="F79" s="1"/>
      <c r="G79" s="1"/>
      <c r="H79" s="1"/>
      <c r="I79" s="1"/>
      <c r="J79" s="1"/>
      <c r="K79" s="1"/>
    </row>
    <row r="80" spans="1:19" x14ac:dyDescent="0.25">
      <c r="D80" s="1"/>
      <c r="E80" s="1"/>
      <c r="F80" s="1"/>
      <c r="G80" s="1"/>
      <c r="H80" s="1"/>
      <c r="I80" s="1"/>
      <c r="J80" s="1"/>
      <c r="K80" s="1"/>
    </row>
    <row r="81" spans="2:13" x14ac:dyDescent="0.25">
      <c r="D81" s="1"/>
      <c r="E81" s="1"/>
      <c r="F81" s="1"/>
      <c r="G81" s="1"/>
      <c r="H81" s="1"/>
      <c r="I81" s="1"/>
      <c r="J81" s="1"/>
      <c r="K81" s="1"/>
    </row>
    <row r="82" spans="2:13" x14ac:dyDescent="0.25">
      <c r="D82" s="1"/>
      <c r="E82" s="1"/>
      <c r="F82" s="1"/>
      <c r="G82" s="1"/>
      <c r="H82" s="1"/>
      <c r="I82" s="1"/>
      <c r="J82" s="1"/>
      <c r="K82" s="1"/>
    </row>
    <row r="83" spans="2:13" x14ac:dyDescent="0.25">
      <c r="D83" s="1"/>
      <c r="E83" s="1"/>
      <c r="F83" s="1"/>
      <c r="G83" s="1"/>
      <c r="H83" s="1"/>
      <c r="I83" s="1"/>
      <c r="J83" s="1"/>
      <c r="K83" s="1"/>
    </row>
    <row r="84" spans="2:13" x14ac:dyDescent="0.25">
      <c r="D84" s="1"/>
      <c r="E84" s="1"/>
      <c r="F84" s="1"/>
      <c r="G84" s="1"/>
      <c r="H84" s="1"/>
      <c r="I84" s="1"/>
      <c r="J84" s="1"/>
      <c r="K84" s="1"/>
      <c r="M84" s="1"/>
    </row>
    <row r="85" spans="2:13" x14ac:dyDescent="0.25">
      <c r="D85" s="1"/>
      <c r="E85" s="1"/>
      <c r="F85" s="1"/>
      <c r="G85" s="1"/>
      <c r="H85" s="1"/>
      <c r="I85" s="1"/>
      <c r="J85" s="1"/>
      <c r="K85" s="1"/>
    </row>
    <row r="86" spans="2:13" x14ac:dyDescent="0.25">
      <c r="D86" s="1"/>
      <c r="E86" s="1"/>
      <c r="F86" s="1"/>
      <c r="G86" s="1"/>
      <c r="H86" s="1"/>
      <c r="I86" s="1"/>
      <c r="J86" s="1"/>
      <c r="K86" s="1"/>
    </row>
    <row r="87" spans="2:13" x14ac:dyDescent="0.25">
      <c r="D87" s="78"/>
      <c r="E87" s="78"/>
      <c r="F87" s="78"/>
      <c r="G87" s="78"/>
      <c r="H87" s="78"/>
      <c r="I87" s="78"/>
      <c r="J87" s="78"/>
      <c r="K87" s="78"/>
    </row>
    <row r="88" spans="2:13" x14ac:dyDescent="0.25">
      <c r="D88" s="7"/>
      <c r="E88" s="7"/>
      <c r="F88" s="7"/>
      <c r="G88" s="7"/>
      <c r="H88" s="7"/>
      <c r="I88" s="7"/>
      <c r="J88" s="7"/>
      <c r="K88" s="7"/>
    </row>
    <row r="89" spans="2:13" x14ac:dyDescent="0.25">
      <c r="D89" s="7"/>
      <c r="E89" s="7"/>
      <c r="F89" s="7"/>
      <c r="G89" s="7"/>
      <c r="H89" s="7"/>
      <c r="I89" s="7"/>
      <c r="J89" s="7"/>
      <c r="K89" s="7"/>
    </row>
    <row r="90" spans="2:13" x14ac:dyDescent="0.25">
      <c r="D90" s="1"/>
      <c r="E90" s="1"/>
      <c r="F90" s="1"/>
      <c r="G90" s="1"/>
      <c r="H90" s="1"/>
      <c r="I90" s="1"/>
      <c r="J90" s="1"/>
      <c r="K90" s="1"/>
    </row>
    <row r="91" spans="2:13" x14ac:dyDescent="0.25">
      <c r="D91" s="1"/>
      <c r="E91" s="1"/>
      <c r="F91" s="1"/>
      <c r="G91" s="1"/>
      <c r="H91" s="1"/>
      <c r="I91" s="1"/>
      <c r="J91" s="1"/>
      <c r="K91" s="1"/>
    </row>
    <row r="92" spans="2:13" x14ac:dyDescent="0.25">
      <c r="D92" s="50"/>
      <c r="E92" s="50"/>
      <c r="F92" s="50"/>
      <c r="G92" s="50"/>
      <c r="H92" s="50"/>
      <c r="I92" s="50"/>
      <c r="J92" s="50"/>
      <c r="K92" s="50"/>
    </row>
    <row r="93" spans="2:13" x14ac:dyDescent="0.25">
      <c r="B93" s="9"/>
      <c r="D93" s="50"/>
      <c r="E93" s="50"/>
      <c r="F93" s="50"/>
      <c r="G93" s="50"/>
      <c r="H93" s="50"/>
      <c r="I93" s="50"/>
      <c r="J93" s="50"/>
      <c r="K93" s="50"/>
    </row>
    <row r="94" spans="2:13" x14ac:dyDescent="0.25">
      <c r="D94" s="50"/>
      <c r="E94" s="50"/>
      <c r="F94" s="50"/>
      <c r="G94" s="50"/>
      <c r="H94" s="50"/>
      <c r="I94" s="50"/>
      <c r="J94" s="50"/>
      <c r="K94" s="50"/>
    </row>
    <row r="95" spans="2:13" x14ac:dyDescent="0.25">
      <c r="D95" s="50"/>
      <c r="E95" s="50"/>
      <c r="F95" s="50"/>
      <c r="G95" s="50"/>
      <c r="H95" s="50"/>
      <c r="I95" s="50"/>
      <c r="J95" s="50"/>
      <c r="K95" s="50"/>
    </row>
    <row r="96" spans="2:13" x14ac:dyDescent="0.25">
      <c r="D96" s="50"/>
      <c r="E96" s="50"/>
      <c r="F96" s="50"/>
      <c r="G96" s="50"/>
      <c r="H96" s="50"/>
      <c r="I96" s="50"/>
      <c r="J96" s="50"/>
      <c r="K96" s="50"/>
    </row>
    <row r="97" spans="4:11" x14ac:dyDescent="0.25">
      <c r="D97" s="50"/>
      <c r="E97" s="50"/>
      <c r="F97" s="50"/>
      <c r="G97" s="50"/>
      <c r="H97" s="50"/>
      <c r="I97" s="50"/>
      <c r="J97" s="50"/>
      <c r="K97" s="50"/>
    </row>
    <row r="98" spans="4:11" x14ac:dyDescent="0.25">
      <c r="D98" s="50"/>
      <c r="E98" s="50"/>
      <c r="F98" s="50"/>
      <c r="G98" s="50"/>
      <c r="H98" s="50"/>
      <c r="I98" s="50"/>
      <c r="J98" s="50"/>
      <c r="K98" s="50"/>
    </row>
    <row r="99" spans="4:11" x14ac:dyDescent="0.25">
      <c r="D99" s="50"/>
      <c r="E99" s="50"/>
      <c r="F99" s="50"/>
      <c r="G99" s="50"/>
      <c r="H99" s="50"/>
      <c r="I99" s="50"/>
      <c r="J99" s="50"/>
      <c r="K99" s="50"/>
    </row>
    <row r="100" spans="4:11" x14ac:dyDescent="0.25">
      <c r="D100" s="50"/>
      <c r="E100" s="50"/>
      <c r="F100" s="50"/>
      <c r="G100" s="50"/>
      <c r="H100" s="50"/>
      <c r="I100" s="50"/>
      <c r="J100" s="50"/>
      <c r="K100" s="50"/>
    </row>
    <row r="101" spans="4:11" x14ac:dyDescent="0.25">
      <c r="D101" s="50"/>
      <c r="E101" s="50"/>
      <c r="F101" s="50"/>
      <c r="G101" s="50"/>
      <c r="H101" s="50"/>
      <c r="I101" s="50"/>
      <c r="J101" s="50"/>
      <c r="K101" s="50"/>
    </row>
    <row r="102" spans="4:11" x14ac:dyDescent="0.25">
      <c r="D102" s="50"/>
      <c r="E102" s="50"/>
      <c r="F102" s="50"/>
      <c r="G102" s="50"/>
      <c r="H102" s="50"/>
      <c r="I102" s="50"/>
      <c r="J102" s="50"/>
      <c r="K102" s="50"/>
    </row>
    <row r="103" spans="4:11" x14ac:dyDescent="0.25">
      <c r="D103" s="50"/>
      <c r="E103" s="50"/>
      <c r="F103" s="50"/>
      <c r="G103" s="50"/>
      <c r="H103" s="50"/>
      <c r="I103" s="50"/>
      <c r="J103" s="50"/>
      <c r="K103" s="50"/>
    </row>
    <row r="104" spans="4:11" x14ac:dyDescent="0.25">
      <c r="D104" s="1"/>
      <c r="E104" s="1"/>
      <c r="F104" s="1"/>
      <c r="G104" s="1"/>
      <c r="H104" s="1"/>
      <c r="I104" s="1"/>
      <c r="J104" s="1"/>
      <c r="K104" s="1"/>
    </row>
    <row r="105" spans="4:11" x14ac:dyDescent="0.25">
      <c r="D105" s="1"/>
      <c r="E105" s="1"/>
      <c r="F105" s="1"/>
      <c r="G105" s="1"/>
      <c r="H105" s="1"/>
      <c r="I105" s="1"/>
      <c r="J105" s="1"/>
      <c r="K105" s="1"/>
    </row>
    <row r="106" spans="4:11" x14ac:dyDescent="0.25">
      <c r="D106" s="1"/>
      <c r="E106" s="1"/>
      <c r="F106" s="1"/>
      <c r="G106" s="1"/>
      <c r="H106" s="1"/>
      <c r="I106" s="1"/>
      <c r="J106" s="1"/>
      <c r="K106" s="1"/>
    </row>
    <row r="107" spans="4:11" x14ac:dyDescent="0.25">
      <c r="D107" s="1"/>
      <c r="E107" s="1"/>
      <c r="F107" s="1"/>
      <c r="G107" s="1"/>
      <c r="H107" s="1"/>
      <c r="I107" s="1"/>
      <c r="J107" s="1"/>
      <c r="K107" s="1"/>
    </row>
    <row r="108" spans="4:11" x14ac:dyDescent="0.25">
      <c r="D108" s="1"/>
      <c r="E108" s="1"/>
      <c r="F108" s="1"/>
      <c r="G108" s="1"/>
      <c r="H108" s="1"/>
      <c r="I108" s="1"/>
      <c r="J108" s="1"/>
      <c r="K108" s="1"/>
    </row>
    <row r="109" spans="4:11" x14ac:dyDescent="0.25">
      <c r="D109" s="1"/>
      <c r="E109" s="1"/>
      <c r="F109" s="1"/>
      <c r="G109" s="1"/>
      <c r="H109" s="1"/>
      <c r="I109" s="1"/>
      <c r="J109" s="1"/>
      <c r="K109" s="1"/>
    </row>
    <row r="110" spans="4:11" x14ac:dyDescent="0.25">
      <c r="D110" s="1"/>
      <c r="E110" s="1"/>
      <c r="F110" s="1"/>
      <c r="G110" s="1"/>
      <c r="H110" s="1"/>
      <c r="I110" s="1"/>
      <c r="J110" s="1"/>
      <c r="K110" s="1"/>
    </row>
    <row r="111" spans="4:11" x14ac:dyDescent="0.25">
      <c r="D111" s="1"/>
      <c r="E111" s="1"/>
      <c r="F111" s="1"/>
      <c r="G111" s="1"/>
      <c r="H111" s="1"/>
      <c r="I111" s="1"/>
      <c r="J111" s="1"/>
      <c r="K111" s="1"/>
    </row>
    <row r="112" spans="4:11" x14ac:dyDescent="0.25">
      <c r="D112" s="1"/>
      <c r="E112" s="1"/>
      <c r="F112" s="1"/>
      <c r="G112" s="1"/>
      <c r="H112" s="1"/>
      <c r="I112" s="1"/>
      <c r="J112" s="1"/>
      <c r="K112" s="1"/>
    </row>
    <row r="113" spans="4:11" x14ac:dyDescent="0.25">
      <c r="D113" s="1"/>
      <c r="E113" s="1"/>
      <c r="F113" s="1"/>
      <c r="G113" s="1"/>
      <c r="H113" s="1"/>
      <c r="I113" s="1"/>
      <c r="J113" s="1"/>
      <c r="K113" s="1"/>
    </row>
  </sheetData>
  <mergeCells count="1">
    <mergeCell ref="B2:K2"/>
  </mergeCells>
  <phoneticPr fontId="9" type="noConversion"/>
  <pageMargins left="0.7" right="0.7" top="0.75" bottom="0.75" header="0.3" footer="0.3"/>
  <pageSetup scale="51"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1"/>
  <sheetViews>
    <sheetView workbookViewId="0">
      <pane xSplit="4" ySplit="5" topLeftCell="E6" activePane="bottomRight" state="frozen"/>
      <selection pane="topRight" activeCell="D1" sqref="D1"/>
      <selection pane="bottomLeft" activeCell="A5" sqref="A5"/>
      <selection pane="bottomRight" activeCell="E4" sqref="E4"/>
    </sheetView>
  </sheetViews>
  <sheetFormatPr defaultRowHeight="15" x14ac:dyDescent="0.25"/>
  <cols>
    <col min="2" max="2" width="3.7109375" style="9" bestFit="1" customWidth="1"/>
    <col min="3" max="3" width="45.7109375" customWidth="1"/>
    <col min="4" max="4" width="21" style="9" customWidth="1"/>
    <col min="10" max="10" width="10.140625" bestFit="1" customWidth="1"/>
  </cols>
  <sheetData>
    <row r="1" spans="2:29" x14ac:dyDescent="0.25">
      <c r="E1">
        <v>1</v>
      </c>
      <c r="F1">
        <v>2</v>
      </c>
      <c r="G1">
        <v>3</v>
      </c>
      <c r="H1">
        <v>4</v>
      </c>
      <c r="I1">
        <v>5</v>
      </c>
      <c r="J1">
        <v>6</v>
      </c>
      <c r="K1">
        <v>7</v>
      </c>
      <c r="L1">
        <v>8</v>
      </c>
      <c r="M1">
        <v>9</v>
      </c>
      <c r="N1">
        <v>10</v>
      </c>
      <c r="O1">
        <v>11</v>
      </c>
      <c r="P1">
        <v>12</v>
      </c>
      <c r="Q1">
        <v>13</v>
      </c>
      <c r="R1">
        <v>14</v>
      </c>
      <c r="S1">
        <v>15</v>
      </c>
      <c r="T1">
        <v>16</v>
      </c>
      <c r="U1">
        <v>17</v>
      </c>
      <c r="V1">
        <v>18</v>
      </c>
      <c r="W1">
        <v>19</v>
      </c>
      <c r="X1">
        <v>20</v>
      </c>
      <c r="Y1">
        <v>21</v>
      </c>
      <c r="Z1">
        <v>22</v>
      </c>
      <c r="AA1">
        <v>23</v>
      </c>
      <c r="AB1">
        <v>24</v>
      </c>
      <c r="AC1">
        <v>25</v>
      </c>
    </row>
    <row r="2" spans="2:29" x14ac:dyDescent="0.25">
      <c r="B2" s="9" t="s">
        <v>135</v>
      </c>
      <c r="C2" t="s">
        <v>269</v>
      </c>
      <c r="E2" s="99">
        <v>0.3</v>
      </c>
      <c r="F2" s="99">
        <v>0.3</v>
      </c>
      <c r="G2" s="99">
        <v>0.3</v>
      </c>
      <c r="H2" s="99">
        <v>0.3</v>
      </c>
      <c r="I2" s="99">
        <v>0.3</v>
      </c>
      <c r="J2" s="99">
        <v>0.3</v>
      </c>
      <c r="K2" s="99">
        <v>0.3</v>
      </c>
      <c r="L2" s="99">
        <v>0.3</v>
      </c>
      <c r="M2" s="99">
        <v>0.3</v>
      </c>
      <c r="N2" s="99">
        <v>0.3</v>
      </c>
      <c r="O2" s="99">
        <v>0.3</v>
      </c>
      <c r="P2" s="99">
        <v>0.3</v>
      </c>
      <c r="Q2" s="99">
        <v>0.3</v>
      </c>
      <c r="R2" s="99">
        <v>0.3</v>
      </c>
      <c r="S2" s="99">
        <v>0.3</v>
      </c>
      <c r="T2" s="99">
        <v>0.3</v>
      </c>
      <c r="U2" s="99">
        <v>0.3</v>
      </c>
      <c r="V2" s="99">
        <v>0.3</v>
      </c>
      <c r="W2" s="99">
        <v>0.3</v>
      </c>
      <c r="X2" s="99">
        <v>0.3</v>
      </c>
      <c r="Y2" s="99">
        <v>0.3</v>
      </c>
      <c r="Z2" s="99">
        <v>0.3</v>
      </c>
      <c r="AA2" s="99">
        <v>0.3</v>
      </c>
      <c r="AB2" s="99">
        <v>0.3</v>
      </c>
      <c r="AC2" s="99">
        <v>0.3</v>
      </c>
    </row>
    <row r="3" spans="2:29" x14ac:dyDescent="0.25">
      <c r="B3" s="9" t="s">
        <v>186</v>
      </c>
      <c r="C3" t="s">
        <v>270</v>
      </c>
      <c r="D3" s="10"/>
      <c r="E3" s="99">
        <v>0.2</v>
      </c>
      <c r="F3" s="99">
        <v>0.2</v>
      </c>
      <c r="G3" s="99">
        <v>0.2</v>
      </c>
      <c r="H3" s="99">
        <v>0.2</v>
      </c>
      <c r="I3" s="99">
        <v>0.2</v>
      </c>
      <c r="J3" s="99">
        <v>0.2</v>
      </c>
      <c r="K3" s="99">
        <v>0.2</v>
      </c>
      <c r="L3" s="99">
        <v>0.2</v>
      </c>
      <c r="M3" s="99">
        <v>0.2</v>
      </c>
      <c r="N3" s="99">
        <v>0.2</v>
      </c>
      <c r="O3" s="99">
        <v>0.2</v>
      </c>
      <c r="P3" s="99">
        <v>0.2</v>
      </c>
      <c r="Q3" s="99">
        <v>0.2</v>
      </c>
      <c r="R3" s="99">
        <v>0.2</v>
      </c>
      <c r="S3" s="99">
        <v>0.2</v>
      </c>
      <c r="T3" s="99">
        <v>0.2</v>
      </c>
      <c r="U3" s="99">
        <v>0.2</v>
      </c>
      <c r="V3" s="99">
        <v>0.2</v>
      </c>
      <c r="W3" s="99">
        <v>0.2</v>
      </c>
      <c r="X3" s="99">
        <v>0.2</v>
      </c>
      <c r="Y3" s="99">
        <v>0.2</v>
      </c>
      <c r="Z3" s="99">
        <v>0.2</v>
      </c>
      <c r="AA3" s="99">
        <v>0.2</v>
      </c>
      <c r="AB3" s="99">
        <v>0.2</v>
      </c>
      <c r="AC3" s="99">
        <v>0.2</v>
      </c>
    </row>
    <row r="4" spans="2:29" x14ac:dyDescent="0.25">
      <c r="C4" s="6" t="s">
        <v>268</v>
      </c>
      <c r="E4" s="79" t="s">
        <v>241</v>
      </c>
      <c r="F4" s="79" t="s">
        <v>241</v>
      </c>
      <c r="G4" s="79" t="s">
        <v>241</v>
      </c>
      <c r="H4" s="79" t="s">
        <v>241</v>
      </c>
      <c r="I4" s="79" t="s">
        <v>241</v>
      </c>
      <c r="J4" s="79" t="s">
        <v>241</v>
      </c>
      <c r="K4" s="79" t="s">
        <v>241</v>
      </c>
      <c r="L4" s="79" t="s">
        <v>241</v>
      </c>
      <c r="M4" s="79" t="s">
        <v>241</v>
      </c>
      <c r="N4" s="79" t="s">
        <v>241</v>
      </c>
      <c r="O4" s="79" t="s">
        <v>241</v>
      </c>
      <c r="P4" s="79" t="s">
        <v>241</v>
      </c>
      <c r="Q4" s="79" t="s">
        <v>241</v>
      </c>
      <c r="R4" s="79" t="s">
        <v>241</v>
      </c>
      <c r="S4" s="79" t="s">
        <v>241</v>
      </c>
      <c r="T4" s="79" t="s">
        <v>241</v>
      </c>
      <c r="U4" s="79" t="s">
        <v>241</v>
      </c>
      <c r="V4" s="79" t="s">
        <v>241</v>
      </c>
      <c r="W4" s="79" t="s">
        <v>241</v>
      </c>
      <c r="X4" s="79" t="s">
        <v>241</v>
      </c>
      <c r="Y4" s="79" t="s">
        <v>241</v>
      </c>
      <c r="Z4" s="79" t="s">
        <v>241</v>
      </c>
      <c r="AA4" s="79" t="s">
        <v>241</v>
      </c>
      <c r="AB4" s="79" t="s">
        <v>241</v>
      </c>
      <c r="AC4" s="79" t="s">
        <v>241</v>
      </c>
    </row>
    <row r="5" spans="2:29" x14ac:dyDescent="0.25">
      <c r="C5" t="s">
        <v>234</v>
      </c>
      <c r="E5" s="9" t="str">
        <f ca="1">IF(E33=E31,"Normal","MAT")</f>
        <v>Normal</v>
      </c>
      <c r="F5" s="9" t="str">
        <f t="shared" ref="F5:N5" ca="1" si="0">IF(F33=F31,"Normal","MAT")</f>
        <v>Normal</v>
      </c>
      <c r="G5" s="9" t="str">
        <f t="shared" ca="1" si="0"/>
        <v>Normal</v>
      </c>
      <c r="H5" s="9" t="str">
        <f t="shared" ca="1" si="0"/>
        <v>Normal</v>
      </c>
      <c r="I5" s="9" t="str">
        <f t="shared" ca="1" si="0"/>
        <v>Normal</v>
      </c>
      <c r="J5" s="9" t="str">
        <f t="shared" ca="1" si="0"/>
        <v>Normal</v>
      </c>
      <c r="K5" s="9" t="str">
        <f t="shared" ca="1" si="0"/>
        <v>Normal</v>
      </c>
      <c r="L5" s="9" t="str">
        <f t="shared" ca="1" si="0"/>
        <v>Normal</v>
      </c>
      <c r="M5" s="9" t="str">
        <f t="shared" ca="1" si="0"/>
        <v>Normal</v>
      </c>
      <c r="N5" s="9" t="str">
        <f t="shared" ca="1" si="0"/>
        <v>Normal</v>
      </c>
      <c r="O5" s="9" t="str">
        <f t="shared" ref="O5:S5" ca="1" si="1">IF(O33=O31,"Normal","MAT")</f>
        <v>Normal</v>
      </c>
      <c r="P5" s="9" t="str">
        <f t="shared" ca="1" si="1"/>
        <v>Normal</v>
      </c>
      <c r="Q5" s="9" t="str">
        <f t="shared" ca="1" si="1"/>
        <v>Normal</v>
      </c>
      <c r="R5" s="9" t="str">
        <f t="shared" ca="1" si="1"/>
        <v>Normal</v>
      </c>
      <c r="S5" s="9" t="str">
        <f t="shared" ca="1" si="1"/>
        <v>Normal</v>
      </c>
      <c r="T5" s="9" t="str">
        <f t="shared" ref="T5:AC5" ca="1" si="2">IF(T33=T31,"Normal","MAT")</f>
        <v>Normal</v>
      </c>
      <c r="U5" s="9" t="str">
        <f t="shared" ca="1" si="2"/>
        <v>Normal</v>
      </c>
      <c r="V5" s="9" t="str">
        <f t="shared" ca="1" si="2"/>
        <v>Normal</v>
      </c>
      <c r="W5" s="9" t="str">
        <f t="shared" ca="1" si="2"/>
        <v>Normal</v>
      </c>
      <c r="X5" s="9" t="str">
        <f t="shared" ca="1" si="2"/>
        <v>Normal</v>
      </c>
      <c r="Y5" s="9" t="str">
        <f t="shared" ca="1" si="2"/>
        <v>Normal</v>
      </c>
      <c r="Z5" s="9" t="str">
        <f t="shared" ca="1" si="2"/>
        <v>Normal</v>
      </c>
      <c r="AA5" s="9" t="str">
        <f t="shared" ca="1" si="2"/>
        <v>Normal</v>
      </c>
      <c r="AB5" s="9" t="str">
        <f t="shared" ca="1" si="2"/>
        <v>Normal</v>
      </c>
      <c r="AC5" s="9" t="str">
        <f t="shared" ca="1" si="2"/>
        <v>Normal</v>
      </c>
    </row>
    <row r="6" spans="2:29" x14ac:dyDescent="0.25">
      <c r="B6" s="9">
        <v>1</v>
      </c>
      <c r="C6" s="6" t="s">
        <v>285</v>
      </c>
      <c r="E6" s="9"/>
      <c r="F6" s="9"/>
      <c r="G6" s="9"/>
      <c r="H6" s="9"/>
      <c r="I6" s="9"/>
      <c r="J6" s="9"/>
      <c r="K6" s="9"/>
      <c r="L6" s="9"/>
      <c r="M6" s="9"/>
      <c r="N6" s="9"/>
      <c r="O6" s="9"/>
      <c r="P6" s="9"/>
      <c r="Q6" s="9"/>
      <c r="R6" s="9"/>
      <c r="S6" s="9"/>
      <c r="T6" s="9"/>
      <c r="U6" s="9"/>
      <c r="V6" s="9"/>
      <c r="W6" s="9"/>
      <c r="X6" s="9"/>
      <c r="Y6" s="9"/>
      <c r="Z6" s="9"/>
      <c r="AA6" s="9"/>
      <c r="AB6" s="9"/>
      <c r="AC6" s="9"/>
    </row>
    <row r="7" spans="2:29" x14ac:dyDescent="0.25">
      <c r="B7" s="9" t="s">
        <v>287</v>
      </c>
      <c r="C7" t="s">
        <v>262</v>
      </c>
      <c r="D7" s="9" t="s">
        <v>326</v>
      </c>
      <c r="E7">
        <v>1000</v>
      </c>
      <c r="F7">
        <v>1000</v>
      </c>
      <c r="G7">
        <v>1000</v>
      </c>
      <c r="H7">
        <v>1000</v>
      </c>
      <c r="I7">
        <v>1000</v>
      </c>
      <c r="J7">
        <v>1000</v>
      </c>
      <c r="K7">
        <v>1000</v>
      </c>
      <c r="L7">
        <v>1000</v>
      </c>
      <c r="M7">
        <v>1000</v>
      </c>
      <c r="N7">
        <v>1000</v>
      </c>
      <c r="O7">
        <v>1000</v>
      </c>
      <c r="P7">
        <v>1000</v>
      </c>
      <c r="Q7">
        <v>1000</v>
      </c>
      <c r="R7">
        <v>1000</v>
      </c>
      <c r="S7">
        <v>1000</v>
      </c>
      <c r="T7">
        <v>1000</v>
      </c>
      <c r="U7">
        <v>1000</v>
      </c>
      <c r="V7">
        <v>1000</v>
      </c>
      <c r="W7">
        <v>1000</v>
      </c>
      <c r="X7">
        <v>1000</v>
      </c>
      <c r="Y7">
        <v>1000</v>
      </c>
      <c r="Z7">
        <v>1000</v>
      </c>
      <c r="AA7">
        <v>1000</v>
      </c>
      <c r="AB7">
        <v>1000</v>
      </c>
      <c r="AC7">
        <v>1000</v>
      </c>
    </row>
    <row r="8" spans="2:29" x14ac:dyDescent="0.25">
      <c r="B8" s="9" t="s">
        <v>288</v>
      </c>
      <c r="C8" t="s">
        <v>261</v>
      </c>
      <c r="D8" s="9" t="s">
        <v>315</v>
      </c>
      <c r="E8" s="71">
        <f t="shared" ref="E8:N8" ca="1" si="3">15.5%/(1-IF(E5="MAT",E3,E2))</f>
        <v>0.22142857142857145</v>
      </c>
      <c r="F8" s="71">
        <f t="shared" ca="1" si="3"/>
        <v>0.22142857142857145</v>
      </c>
      <c r="G8" s="71">
        <f t="shared" ca="1" si="3"/>
        <v>0.22142857142857145</v>
      </c>
      <c r="H8" s="71">
        <f t="shared" ca="1" si="3"/>
        <v>0.22142857142857145</v>
      </c>
      <c r="I8" s="71">
        <f t="shared" ca="1" si="3"/>
        <v>0.22142857142857145</v>
      </c>
      <c r="J8" s="71">
        <f t="shared" ca="1" si="3"/>
        <v>0.22142857142857145</v>
      </c>
      <c r="K8" s="71">
        <f t="shared" ca="1" si="3"/>
        <v>0.22142857142857145</v>
      </c>
      <c r="L8" s="71">
        <f t="shared" ca="1" si="3"/>
        <v>0.22142857142857145</v>
      </c>
      <c r="M8" s="71">
        <f t="shared" ca="1" si="3"/>
        <v>0.22142857142857145</v>
      </c>
      <c r="N8" s="71">
        <f t="shared" ca="1" si="3"/>
        <v>0.22142857142857145</v>
      </c>
      <c r="O8" s="71">
        <f t="shared" ref="O8:S8" ca="1" si="4">15.5%/(1-IF(O5="MAT",O3,O2))</f>
        <v>0.22142857142857145</v>
      </c>
      <c r="P8" s="71">
        <f t="shared" ca="1" si="4"/>
        <v>0.22142857142857145</v>
      </c>
      <c r="Q8" s="71">
        <f t="shared" ca="1" si="4"/>
        <v>0.22142857142857145</v>
      </c>
      <c r="R8" s="71">
        <f t="shared" ca="1" si="4"/>
        <v>0.22142857142857145</v>
      </c>
      <c r="S8" s="71">
        <f t="shared" ca="1" si="4"/>
        <v>0.22142857142857145</v>
      </c>
      <c r="T8" s="71">
        <f t="shared" ref="T8:AC8" ca="1" si="5">15.5%/(1-IF(T5="MAT",T3,T2))</f>
        <v>0.22142857142857145</v>
      </c>
      <c r="U8" s="71">
        <f t="shared" ca="1" si="5"/>
        <v>0.22142857142857145</v>
      </c>
      <c r="V8" s="71">
        <f t="shared" ca="1" si="5"/>
        <v>0.22142857142857145</v>
      </c>
      <c r="W8" s="71">
        <f t="shared" ca="1" si="5"/>
        <v>0.22142857142857145</v>
      </c>
      <c r="X8" s="71">
        <f t="shared" ca="1" si="5"/>
        <v>0.22142857142857145</v>
      </c>
      <c r="Y8" s="71">
        <f t="shared" ca="1" si="5"/>
        <v>0.22142857142857145</v>
      </c>
      <c r="Z8" s="71">
        <f t="shared" ca="1" si="5"/>
        <v>0.22142857142857145</v>
      </c>
      <c r="AA8" s="71">
        <f t="shared" ca="1" si="5"/>
        <v>0.22142857142857145</v>
      </c>
      <c r="AB8" s="71">
        <f t="shared" ca="1" si="5"/>
        <v>0.22142857142857145</v>
      </c>
      <c r="AC8" s="71">
        <f t="shared" ca="1" si="5"/>
        <v>0.22142857142857145</v>
      </c>
    </row>
    <row r="9" spans="2:29" x14ac:dyDescent="0.25">
      <c r="B9" s="9" t="s">
        <v>289</v>
      </c>
      <c r="C9" t="s">
        <v>260</v>
      </c>
      <c r="D9" s="9" t="s">
        <v>316</v>
      </c>
      <c r="E9" s="1">
        <f t="shared" ref="E9:N9" ca="1" si="6">E7*E8</f>
        <v>221.42857142857144</v>
      </c>
      <c r="F9" s="1">
        <f t="shared" ca="1" si="6"/>
        <v>221.42857142857144</v>
      </c>
      <c r="G9" s="1">
        <f t="shared" ca="1" si="6"/>
        <v>221.42857142857144</v>
      </c>
      <c r="H9" s="1">
        <f t="shared" ca="1" si="6"/>
        <v>221.42857142857144</v>
      </c>
      <c r="I9" s="1">
        <f t="shared" ca="1" si="6"/>
        <v>221.42857142857144</v>
      </c>
      <c r="J9" s="1">
        <f t="shared" ca="1" si="6"/>
        <v>221.42857142857144</v>
      </c>
      <c r="K9" s="1">
        <f t="shared" ca="1" si="6"/>
        <v>221.42857142857144</v>
      </c>
      <c r="L9" s="1">
        <f t="shared" ca="1" si="6"/>
        <v>221.42857142857144</v>
      </c>
      <c r="M9" s="1">
        <f t="shared" ca="1" si="6"/>
        <v>221.42857142857144</v>
      </c>
      <c r="N9" s="1">
        <f t="shared" ca="1" si="6"/>
        <v>221.42857142857144</v>
      </c>
      <c r="O9" s="1">
        <f t="shared" ref="O9:S9" ca="1" si="7">O7*O8</f>
        <v>221.42857142857144</v>
      </c>
      <c r="P9" s="1">
        <f t="shared" ca="1" si="7"/>
        <v>221.42857142857144</v>
      </c>
      <c r="Q9" s="1">
        <f t="shared" ca="1" si="7"/>
        <v>221.42857142857144</v>
      </c>
      <c r="R9" s="1">
        <f t="shared" ca="1" si="7"/>
        <v>221.42857142857144</v>
      </c>
      <c r="S9" s="1">
        <f t="shared" ca="1" si="7"/>
        <v>221.42857142857144</v>
      </c>
      <c r="T9" s="1">
        <f t="shared" ref="T9:AC9" ca="1" si="8">T7*T8</f>
        <v>221.42857142857144</v>
      </c>
      <c r="U9" s="1">
        <f t="shared" ca="1" si="8"/>
        <v>221.42857142857144</v>
      </c>
      <c r="V9" s="1">
        <f t="shared" ca="1" si="8"/>
        <v>221.42857142857144</v>
      </c>
      <c r="W9" s="1">
        <f t="shared" ca="1" si="8"/>
        <v>221.42857142857144</v>
      </c>
      <c r="X9" s="1">
        <f t="shared" ca="1" si="8"/>
        <v>221.42857142857144</v>
      </c>
      <c r="Y9" s="1">
        <f t="shared" ca="1" si="8"/>
        <v>221.42857142857144</v>
      </c>
      <c r="Z9" s="1">
        <f t="shared" ca="1" si="8"/>
        <v>221.42857142857144</v>
      </c>
      <c r="AA9" s="1">
        <f t="shared" ca="1" si="8"/>
        <v>221.42857142857144</v>
      </c>
      <c r="AB9" s="1">
        <f t="shared" ca="1" si="8"/>
        <v>221.42857142857144</v>
      </c>
      <c r="AC9" s="1">
        <f t="shared" ca="1" si="8"/>
        <v>221.42857142857144</v>
      </c>
    </row>
    <row r="10" spans="2:29" x14ac:dyDescent="0.25">
      <c r="B10" s="9" t="s">
        <v>290</v>
      </c>
      <c r="C10" t="s">
        <v>278</v>
      </c>
      <c r="D10" s="9" t="s">
        <v>324</v>
      </c>
      <c r="E10" s="1">
        <f t="shared" ref="E10:N10" ca="1" si="9">E9*IF(E5="MAT",E3,E2)-E43</f>
        <v>66.428571428571431</v>
      </c>
      <c r="F10" s="1">
        <f t="shared" ca="1" si="9"/>
        <v>66.428571428571431</v>
      </c>
      <c r="G10" s="1">
        <f t="shared" ca="1" si="9"/>
        <v>66.428571428571431</v>
      </c>
      <c r="H10" s="1">
        <f t="shared" ca="1" si="9"/>
        <v>66.428571428571431</v>
      </c>
      <c r="I10" s="1">
        <f t="shared" ca="1" si="9"/>
        <v>66.428571428571431</v>
      </c>
      <c r="J10" s="1">
        <f t="shared" ca="1" si="9"/>
        <v>66.428571428571431</v>
      </c>
      <c r="K10" s="1">
        <f t="shared" ca="1" si="9"/>
        <v>66.428571428571431</v>
      </c>
      <c r="L10" s="1">
        <f t="shared" ca="1" si="9"/>
        <v>66.428571428571431</v>
      </c>
      <c r="M10" s="1">
        <f t="shared" ca="1" si="9"/>
        <v>66.428571428571431</v>
      </c>
      <c r="N10" s="1">
        <f t="shared" ca="1" si="9"/>
        <v>66.428571428571431</v>
      </c>
      <c r="O10" s="1">
        <f t="shared" ref="O10:S10" ca="1" si="10">O9*IF(O5="MAT",O3,O2)-O43</f>
        <v>66.428571428571431</v>
      </c>
      <c r="P10" s="1">
        <f t="shared" ca="1" si="10"/>
        <v>66.428571428571431</v>
      </c>
      <c r="Q10" s="1">
        <f t="shared" ca="1" si="10"/>
        <v>66.428571428571431</v>
      </c>
      <c r="R10" s="1">
        <f t="shared" ca="1" si="10"/>
        <v>66.428571428571431</v>
      </c>
      <c r="S10" s="1">
        <f t="shared" ca="1" si="10"/>
        <v>66.428571428571431</v>
      </c>
      <c r="T10" s="1">
        <f t="shared" ref="T10:AC10" ca="1" si="11">T9*IF(T5="MAT",T3,T2)-T43</f>
        <v>66.428571428571431</v>
      </c>
      <c r="U10" s="1">
        <f t="shared" ca="1" si="11"/>
        <v>66.428571428571431</v>
      </c>
      <c r="V10" s="1">
        <f t="shared" ca="1" si="11"/>
        <v>66.428571428571431</v>
      </c>
      <c r="W10" s="1">
        <f t="shared" ca="1" si="11"/>
        <v>66.428571428571431</v>
      </c>
      <c r="X10" s="1">
        <f t="shared" ca="1" si="11"/>
        <v>66.428571428571431</v>
      </c>
      <c r="Y10" s="1">
        <f t="shared" ca="1" si="11"/>
        <v>66.428571428571431</v>
      </c>
      <c r="Z10" s="1">
        <f t="shared" ca="1" si="11"/>
        <v>66.428571428571431</v>
      </c>
      <c r="AA10" s="1">
        <f t="shared" ca="1" si="11"/>
        <v>66.428571428571431</v>
      </c>
      <c r="AB10" s="1">
        <f t="shared" ca="1" si="11"/>
        <v>66.428571428571431</v>
      </c>
      <c r="AC10" s="1">
        <f t="shared" ca="1" si="11"/>
        <v>66.428571428571431</v>
      </c>
    </row>
    <row r="11" spans="2:29" x14ac:dyDescent="0.25">
      <c r="B11" s="9" t="s">
        <v>291</v>
      </c>
      <c r="C11" t="s">
        <v>258</v>
      </c>
      <c r="D11" s="9" t="s">
        <v>325</v>
      </c>
      <c r="E11" s="71">
        <f t="shared" ref="E11:N11" ca="1" si="12">E10/E9</f>
        <v>0.3</v>
      </c>
      <c r="F11" s="71">
        <f t="shared" ca="1" si="12"/>
        <v>0.3</v>
      </c>
      <c r="G11" s="71">
        <f t="shared" ca="1" si="12"/>
        <v>0.3</v>
      </c>
      <c r="H11" s="71">
        <f t="shared" ca="1" si="12"/>
        <v>0.3</v>
      </c>
      <c r="I11" s="71">
        <f t="shared" ca="1" si="12"/>
        <v>0.3</v>
      </c>
      <c r="J11" s="71">
        <f t="shared" ca="1" si="12"/>
        <v>0.3</v>
      </c>
      <c r="K11" s="71">
        <f t="shared" ca="1" si="12"/>
        <v>0.3</v>
      </c>
      <c r="L11" s="71">
        <f t="shared" ca="1" si="12"/>
        <v>0.3</v>
      </c>
      <c r="M11" s="71">
        <f t="shared" ca="1" si="12"/>
        <v>0.3</v>
      </c>
      <c r="N11" s="71">
        <f t="shared" ca="1" si="12"/>
        <v>0.3</v>
      </c>
      <c r="O11" s="71">
        <f t="shared" ref="O11:S11" ca="1" si="13">O10/O9</f>
        <v>0.3</v>
      </c>
      <c r="P11" s="71">
        <f t="shared" ca="1" si="13"/>
        <v>0.3</v>
      </c>
      <c r="Q11" s="71">
        <f t="shared" ca="1" si="13"/>
        <v>0.3</v>
      </c>
      <c r="R11" s="71">
        <f t="shared" ca="1" si="13"/>
        <v>0.3</v>
      </c>
      <c r="S11" s="71">
        <f t="shared" ca="1" si="13"/>
        <v>0.3</v>
      </c>
      <c r="T11" s="71">
        <f t="shared" ref="T11:AC11" ca="1" si="14">T10/T9</f>
        <v>0.3</v>
      </c>
      <c r="U11" s="71">
        <f t="shared" ca="1" si="14"/>
        <v>0.3</v>
      </c>
      <c r="V11" s="71">
        <f t="shared" ca="1" si="14"/>
        <v>0.3</v>
      </c>
      <c r="W11" s="71">
        <f t="shared" ca="1" si="14"/>
        <v>0.3</v>
      </c>
      <c r="X11" s="71">
        <f t="shared" ca="1" si="14"/>
        <v>0.3</v>
      </c>
      <c r="Y11" s="71">
        <f t="shared" ca="1" si="14"/>
        <v>0.3</v>
      </c>
      <c r="Z11" s="71">
        <f t="shared" ca="1" si="14"/>
        <v>0.3</v>
      </c>
      <c r="AA11" s="71">
        <f t="shared" ca="1" si="14"/>
        <v>0.3</v>
      </c>
      <c r="AB11" s="71">
        <f t="shared" ca="1" si="14"/>
        <v>0.3</v>
      </c>
      <c r="AC11" s="71">
        <f t="shared" ca="1" si="14"/>
        <v>0.3</v>
      </c>
    </row>
    <row r="12" spans="2:29" x14ac:dyDescent="0.25">
      <c r="B12" s="9">
        <v>2</v>
      </c>
      <c r="C12" s="6" t="s">
        <v>286</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row>
    <row r="13" spans="2:29" x14ac:dyDescent="0.25">
      <c r="B13" s="9" t="s">
        <v>292</v>
      </c>
      <c r="C13" t="s">
        <v>256</v>
      </c>
      <c r="D13" s="9" t="s">
        <v>326</v>
      </c>
      <c r="E13" s="1">
        <v>2000</v>
      </c>
      <c r="F13" s="1">
        <v>2000</v>
      </c>
      <c r="G13" s="1">
        <v>2000</v>
      </c>
      <c r="H13" s="1">
        <v>2000</v>
      </c>
      <c r="I13" s="1">
        <v>2000</v>
      </c>
      <c r="J13" s="1">
        <v>2000</v>
      </c>
      <c r="K13" s="1">
        <v>2000</v>
      </c>
      <c r="L13" s="1">
        <v>2000</v>
      </c>
      <c r="M13" s="1">
        <v>2000</v>
      </c>
      <c r="N13" s="1">
        <v>2000</v>
      </c>
      <c r="O13" s="1">
        <v>2000</v>
      </c>
      <c r="P13" s="1">
        <v>2000</v>
      </c>
      <c r="Q13" s="1">
        <v>2000</v>
      </c>
      <c r="R13" s="1">
        <v>2000</v>
      </c>
      <c r="S13" s="1">
        <v>2000</v>
      </c>
      <c r="T13" s="1">
        <v>2000</v>
      </c>
      <c r="U13" s="1">
        <v>2000</v>
      </c>
      <c r="V13" s="1">
        <v>2000</v>
      </c>
      <c r="W13" s="1">
        <v>2000</v>
      </c>
      <c r="X13" s="1">
        <v>2000</v>
      </c>
      <c r="Y13" s="1">
        <v>2000</v>
      </c>
      <c r="Z13" s="1">
        <v>2000</v>
      </c>
      <c r="AA13" s="1">
        <v>2000</v>
      </c>
      <c r="AB13" s="1">
        <v>2000</v>
      </c>
      <c r="AC13" s="1">
        <v>2000</v>
      </c>
    </row>
    <row r="14" spans="2:29" x14ac:dyDescent="0.25">
      <c r="B14" s="9" t="s">
        <v>293</v>
      </c>
      <c r="C14" t="s">
        <v>255</v>
      </c>
      <c r="D14" s="9" t="s">
        <v>326</v>
      </c>
      <c r="E14" s="71">
        <v>-1.5</v>
      </c>
      <c r="F14" s="71">
        <v>0</v>
      </c>
      <c r="G14" s="71">
        <v>0</v>
      </c>
      <c r="H14" s="71">
        <v>0</v>
      </c>
      <c r="I14" s="71">
        <v>0.4</v>
      </c>
      <c r="J14" s="71">
        <v>0.2</v>
      </c>
      <c r="K14" s="71">
        <v>0.2</v>
      </c>
      <c r="L14" s="71">
        <v>0.2</v>
      </c>
      <c r="M14" s="71">
        <v>0.2</v>
      </c>
      <c r="N14" s="71">
        <v>0.2</v>
      </c>
      <c r="O14" s="71">
        <v>0.2</v>
      </c>
      <c r="P14" s="71">
        <v>0.2</v>
      </c>
      <c r="Q14" s="71">
        <v>0.2</v>
      </c>
      <c r="R14" s="71">
        <v>0.2</v>
      </c>
      <c r="S14" s="71">
        <v>0.2</v>
      </c>
      <c r="T14" s="71">
        <v>0.2</v>
      </c>
      <c r="U14" s="71">
        <v>0.2</v>
      </c>
      <c r="V14" s="71">
        <v>0.2</v>
      </c>
      <c r="W14" s="71">
        <v>0.2</v>
      </c>
      <c r="X14" s="71">
        <v>0.2</v>
      </c>
      <c r="Y14" s="71">
        <v>0.2</v>
      </c>
      <c r="Z14" s="71">
        <v>0.2</v>
      </c>
      <c r="AA14" s="71">
        <v>0.2</v>
      </c>
      <c r="AB14" s="71">
        <v>0.2</v>
      </c>
      <c r="AC14" s="71">
        <v>0.2</v>
      </c>
    </row>
    <row r="15" spans="2:29" x14ac:dyDescent="0.25">
      <c r="B15" s="9" t="s">
        <v>294</v>
      </c>
      <c r="C15" t="s">
        <v>254</v>
      </c>
      <c r="D15" s="9" t="s">
        <v>327</v>
      </c>
      <c r="E15" s="1">
        <f t="shared" ref="E15:N15" si="15">E13*E14</f>
        <v>-3000</v>
      </c>
      <c r="F15" s="1">
        <f t="shared" si="15"/>
        <v>0</v>
      </c>
      <c r="G15" s="1">
        <f t="shared" si="15"/>
        <v>0</v>
      </c>
      <c r="H15" s="1">
        <f t="shared" si="15"/>
        <v>0</v>
      </c>
      <c r="I15" s="1">
        <v>0</v>
      </c>
      <c r="J15" s="1">
        <f t="shared" si="15"/>
        <v>400</v>
      </c>
      <c r="K15" s="1">
        <f t="shared" si="15"/>
        <v>400</v>
      </c>
      <c r="L15" s="1">
        <f t="shared" si="15"/>
        <v>400</v>
      </c>
      <c r="M15" s="1">
        <f t="shared" si="15"/>
        <v>400</v>
      </c>
      <c r="N15" s="1">
        <f t="shared" si="15"/>
        <v>400</v>
      </c>
      <c r="O15" s="1">
        <f t="shared" ref="O15:S15" si="16">O13*O14</f>
        <v>400</v>
      </c>
      <c r="P15" s="1">
        <f t="shared" si="16"/>
        <v>400</v>
      </c>
      <c r="Q15" s="1">
        <f t="shared" si="16"/>
        <v>400</v>
      </c>
      <c r="R15" s="1">
        <f t="shared" si="16"/>
        <v>400</v>
      </c>
      <c r="S15" s="1">
        <f t="shared" si="16"/>
        <v>400</v>
      </c>
      <c r="T15" s="1">
        <f t="shared" ref="T15:AC15" si="17">T13*T14</f>
        <v>400</v>
      </c>
      <c r="U15" s="1">
        <f t="shared" si="17"/>
        <v>400</v>
      </c>
      <c r="V15" s="1">
        <f t="shared" si="17"/>
        <v>400</v>
      </c>
      <c r="W15" s="1">
        <f t="shared" si="17"/>
        <v>400</v>
      </c>
      <c r="X15" s="1">
        <f t="shared" si="17"/>
        <v>400</v>
      </c>
      <c r="Y15" s="1">
        <f t="shared" si="17"/>
        <v>400</v>
      </c>
      <c r="Z15" s="1">
        <f t="shared" si="17"/>
        <v>400</v>
      </c>
      <c r="AA15" s="1">
        <f t="shared" si="17"/>
        <v>400</v>
      </c>
      <c r="AB15" s="1">
        <f t="shared" si="17"/>
        <v>400</v>
      </c>
      <c r="AC15" s="1">
        <f t="shared" si="17"/>
        <v>400</v>
      </c>
    </row>
    <row r="16" spans="2:29" x14ac:dyDescent="0.25">
      <c r="B16" s="9" t="s">
        <v>295</v>
      </c>
      <c r="C16" t="s">
        <v>248</v>
      </c>
      <c r="D16" s="9" t="s">
        <v>328</v>
      </c>
      <c r="E16" s="1">
        <v>0</v>
      </c>
      <c r="F16" s="1">
        <f t="shared" ref="F16:N16" si="18">E19</f>
        <v>-3000</v>
      </c>
      <c r="G16" s="1">
        <f t="shared" si="18"/>
        <v>-3000</v>
      </c>
      <c r="H16" s="1">
        <f t="shared" si="18"/>
        <v>-3000</v>
      </c>
      <c r="I16" s="1">
        <f t="shared" si="18"/>
        <v>-3000</v>
      </c>
      <c r="J16" s="1">
        <f t="shared" si="18"/>
        <v>-3000</v>
      </c>
      <c r="K16" s="1">
        <f t="shared" si="18"/>
        <v>-2600</v>
      </c>
      <c r="L16" s="1">
        <f t="shared" si="18"/>
        <v>-2200</v>
      </c>
      <c r="M16" s="1">
        <f t="shared" si="18"/>
        <v>-1800</v>
      </c>
      <c r="N16" s="1">
        <f t="shared" si="18"/>
        <v>-1400</v>
      </c>
      <c r="O16" s="1">
        <f t="shared" ref="O16" si="19">N19</f>
        <v>-1000</v>
      </c>
      <c r="P16" s="1">
        <f t="shared" ref="P16" si="20">O19</f>
        <v>-600</v>
      </c>
      <c r="Q16" s="1">
        <f t="shared" ref="Q16" si="21">P19</f>
        <v>-200</v>
      </c>
      <c r="R16" s="1">
        <f t="shared" ref="R16" si="22">Q19</f>
        <v>0</v>
      </c>
      <c r="S16" s="1">
        <f t="shared" ref="S16" si="23">R19</f>
        <v>0</v>
      </c>
      <c r="T16" s="1">
        <f t="shared" ref="T16" si="24">S19</f>
        <v>0</v>
      </c>
      <c r="U16" s="1">
        <f t="shared" ref="U16" si="25">T19</f>
        <v>0</v>
      </c>
      <c r="V16" s="1">
        <f t="shared" ref="V16" si="26">U19</f>
        <v>0</v>
      </c>
      <c r="W16" s="1">
        <f t="shared" ref="W16" si="27">V19</f>
        <v>0</v>
      </c>
      <c r="X16" s="1">
        <f t="shared" ref="X16" si="28">W19</f>
        <v>0</v>
      </c>
      <c r="Y16" s="1">
        <f t="shared" ref="Y16" si="29">X19</f>
        <v>0</v>
      </c>
      <c r="Z16" s="1">
        <f t="shared" ref="Z16" si="30">Y19</f>
        <v>0</v>
      </c>
      <c r="AA16" s="1">
        <f t="shared" ref="AA16" si="31">Z19</f>
        <v>0</v>
      </c>
      <c r="AB16" s="1">
        <f t="shared" ref="AB16" si="32">AA19</f>
        <v>0</v>
      </c>
      <c r="AC16" s="1">
        <f t="shared" ref="AC16" si="33">AB19</f>
        <v>0</v>
      </c>
    </row>
    <row r="17" spans="2:29" x14ac:dyDescent="0.25">
      <c r="B17" s="9" t="s">
        <v>296</v>
      </c>
      <c r="C17" t="s">
        <v>247</v>
      </c>
      <c r="D17" s="9" t="s">
        <v>329</v>
      </c>
      <c r="E17" s="1">
        <f t="shared" ref="E17:N17" si="34">IF(E15&lt;0,E15,0)</f>
        <v>-3000</v>
      </c>
      <c r="F17" s="1">
        <f t="shared" si="34"/>
        <v>0</v>
      </c>
      <c r="G17" s="1">
        <f t="shared" si="34"/>
        <v>0</v>
      </c>
      <c r="H17" s="1">
        <f t="shared" si="34"/>
        <v>0</v>
      </c>
      <c r="I17" s="1">
        <f t="shared" si="34"/>
        <v>0</v>
      </c>
      <c r="J17" s="1">
        <f t="shared" si="34"/>
        <v>0</v>
      </c>
      <c r="K17" s="1">
        <f t="shared" si="34"/>
        <v>0</v>
      </c>
      <c r="L17" s="1">
        <f t="shared" si="34"/>
        <v>0</v>
      </c>
      <c r="M17" s="1">
        <f t="shared" si="34"/>
        <v>0</v>
      </c>
      <c r="N17" s="1">
        <f t="shared" si="34"/>
        <v>0</v>
      </c>
      <c r="O17" s="1">
        <f t="shared" ref="O17:S17" si="35">IF(O15&lt;0,O15,0)</f>
        <v>0</v>
      </c>
      <c r="P17" s="1">
        <f t="shared" si="35"/>
        <v>0</v>
      </c>
      <c r="Q17" s="1">
        <f t="shared" si="35"/>
        <v>0</v>
      </c>
      <c r="R17" s="1">
        <f t="shared" si="35"/>
        <v>0</v>
      </c>
      <c r="S17" s="1">
        <f t="shared" si="35"/>
        <v>0</v>
      </c>
      <c r="T17" s="1">
        <f t="shared" ref="T17:AC17" si="36">IF(T15&lt;0,T15,0)</f>
        <v>0</v>
      </c>
      <c r="U17" s="1">
        <f t="shared" si="36"/>
        <v>0</v>
      </c>
      <c r="V17" s="1">
        <f t="shared" si="36"/>
        <v>0</v>
      </c>
      <c r="W17" s="1">
        <f t="shared" si="36"/>
        <v>0</v>
      </c>
      <c r="X17" s="1">
        <f t="shared" si="36"/>
        <v>0</v>
      </c>
      <c r="Y17" s="1">
        <f t="shared" si="36"/>
        <v>0</v>
      </c>
      <c r="Z17" s="1">
        <f t="shared" si="36"/>
        <v>0</v>
      </c>
      <c r="AA17" s="1">
        <f t="shared" si="36"/>
        <v>0</v>
      </c>
      <c r="AB17" s="1">
        <f t="shared" si="36"/>
        <v>0</v>
      </c>
      <c r="AC17" s="1">
        <f t="shared" si="36"/>
        <v>0</v>
      </c>
    </row>
    <row r="18" spans="2:29" x14ac:dyDescent="0.25">
      <c r="B18" s="9" t="s">
        <v>297</v>
      </c>
      <c r="C18" t="s">
        <v>246</v>
      </c>
      <c r="D18" s="9" t="s">
        <v>330</v>
      </c>
      <c r="E18" s="1">
        <f t="shared" ref="E18:N18" si="37">IF(E15&gt;0,MIN(-E16,E15),0)</f>
        <v>0</v>
      </c>
      <c r="F18" s="1">
        <f t="shared" si="37"/>
        <v>0</v>
      </c>
      <c r="G18" s="1">
        <f t="shared" si="37"/>
        <v>0</v>
      </c>
      <c r="H18" s="1">
        <f t="shared" si="37"/>
        <v>0</v>
      </c>
      <c r="I18" s="1">
        <f t="shared" si="37"/>
        <v>0</v>
      </c>
      <c r="J18" s="1">
        <f t="shared" si="37"/>
        <v>400</v>
      </c>
      <c r="K18" s="1">
        <f t="shared" si="37"/>
        <v>400</v>
      </c>
      <c r="L18" s="1">
        <f t="shared" si="37"/>
        <v>400</v>
      </c>
      <c r="M18" s="1">
        <f t="shared" si="37"/>
        <v>400</v>
      </c>
      <c r="N18" s="1">
        <f t="shared" si="37"/>
        <v>400</v>
      </c>
      <c r="O18" s="1">
        <f t="shared" ref="O18:S18" si="38">IF(O15&gt;0,MIN(-O16,O15),0)</f>
        <v>400</v>
      </c>
      <c r="P18" s="1">
        <f t="shared" si="38"/>
        <v>400</v>
      </c>
      <c r="Q18" s="1">
        <f t="shared" si="38"/>
        <v>200</v>
      </c>
      <c r="R18" s="1">
        <f t="shared" si="38"/>
        <v>0</v>
      </c>
      <c r="S18" s="1">
        <f t="shared" si="38"/>
        <v>0</v>
      </c>
      <c r="T18" s="1">
        <f t="shared" ref="T18:AC18" si="39">IF(T15&gt;0,MIN(-T16,T15),0)</f>
        <v>0</v>
      </c>
      <c r="U18" s="1">
        <f t="shared" si="39"/>
        <v>0</v>
      </c>
      <c r="V18" s="1">
        <f t="shared" si="39"/>
        <v>0</v>
      </c>
      <c r="W18" s="1">
        <f t="shared" si="39"/>
        <v>0</v>
      </c>
      <c r="X18" s="1">
        <f t="shared" si="39"/>
        <v>0</v>
      </c>
      <c r="Y18" s="1">
        <f t="shared" si="39"/>
        <v>0</v>
      </c>
      <c r="Z18" s="1">
        <f t="shared" si="39"/>
        <v>0</v>
      </c>
      <c r="AA18" s="1">
        <f t="shared" si="39"/>
        <v>0</v>
      </c>
      <c r="AB18" s="1">
        <f t="shared" si="39"/>
        <v>0</v>
      </c>
      <c r="AC18" s="1">
        <f t="shared" si="39"/>
        <v>0</v>
      </c>
    </row>
    <row r="19" spans="2:29" x14ac:dyDescent="0.25">
      <c r="B19" s="9" t="s">
        <v>298</v>
      </c>
      <c r="C19" t="s">
        <v>245</v>
      </c>
      <c r="D19" s="9" t="s">
        <v>331</v>
      </c>
      <c r="E19" s="1">
        <f t="shared" ref="E19:N19" si="40">E16+E17+E18</f>
        <v>-3000</v>
      </c>
      <c r="F19" s="1">
        <f t="shared" si="40"/>
        <v>-3000</v>
      </c>
      <c r="G19" s="1">
        <f t="shared" si="40"/>
        <v>-3000</v>
      </c>
      <c r="H19" s="1">
        <f t="shared" si="40"/>
        <v>-3000</v>
      </c>
      <c r="I19" s="1">
        <f t="shared" si="40"/>
        <v>-3000</v>
      </c>
      <c r="J19" s="1">
        <f t="shared" si="40"/>
        <v>-2600</v>
      </c>
      <c r="K19" s="1">
        <f t="shared" si="40"/>
        <v>-2200</v>
      </c>
      <c r="L19" s="1">
        <f t="shared" si="40"/>
        <v>-1800</v>
      </c>
      <c r="M19" s="1">
        <f t="shared" si="40"/>
        <v>-1400</v>
      </c>
      <c r="N19" s="1">
        <f t="shared" si="40"/>
        <v>-1000</v>
      </c>
      <c r="O19" s="1">
        <f t="shared" ref="O19:S19" si="41">O16+O17+O18</f>
        <v>-600</v>
      </c>
      <c r="P19" s="1">
        <f t="shared" si="41"/>
        <v>-200</v>
      </c>
      <c r="Q19" s="1">
        <f t="shared" si="41"/>
        <v>0</v>
      </c>
      <c r="R19" s="1">
        <f t="shared" si="41"/>
        <v>0</v>
      </c>
      <c r="S19" s="1">
        <f t="shared" si="41"/>
        <v>0</v>
      </c>
      <c r="T19" s="1">
        <f t="shared" ref="T19:AC19" si="42">T16+T17+T18</f>
        <v>0</v>
      </c>
      <c r="U19" s="1">
        <f t="shared" si="42"/>
        <v>0</v>
      </c>
      <c r="V19" s="1">
        <f t="shared" si="42"/>
        <v>0</v>
      </c>
      <c r="W19" s="1">
        <f t="shared" si="42"/>
        <v>0</v>
      </c>
      <c r="X19" s="1">
        <f t="shared" si="42"/>
        <v>0</v>
      </c>
      <c r="Y19" s="1">
        <f t="shared" si="42"/>
        <v>0</v>
      </c>
      <c r="Z19" s="1">
        <f t="shared" si="42"/>
        <v>0</v>
      </c>
      <c r="AA19" s="1">
        <f t="shared" si="42"/>
        <v>0</v>
      </c>
      <c r="AB19" s="1">
        <f t="shared" si="42"/>
        <v>0</v>
      </c>
      <c r="AC19" s="1">
        <f t="shared" si="42"/>
        <v>0</v>
      </c>
    </row>
    <row r="20" spans="2:29" x14ac:dyDescent="0.25">
      <c r="B20" s="9" t="s">
        <v>299</v>
      </c>
      <c r="C20" t="s">
        <v>253</v>
      </c>
      <c r="D20" s="9" t="s">
        <v>332</v>
      </c>
      <c r="E20" s="1">
        <f t="shared" ref="E20:N20" si="43">IF(E15&gt;0,E15-E18,0)</f>
        <v>0</v>
      </c>
      <c r="F20" s="1">
        <f t="shared" si="43"/>
        <v>0</v>
      </c>
      <c r="G20" s="1">
        <f t="shared" si="43"/>
        <v>0</v>
      </c>
      <c r="H20" s="1">
        <f t="shared" si="43"/>
        <v>0</v>
      </c>
      <c r="I20" s="1">
        <f t="shared" si="43"/>
        <v>0</v>
      </c>
      <c r="J20" s="1">
        <f t="shared" si="43"/>
        <v>0</v>
      </c>
      <c r="K20" s="1">
        <f t="shared" si="43"/>
        <v>0</v>
      </c>
      <c r="L20" s="1">
        <f t="shared" si="43"/>
        <v>0</v>
      </c>
      <c r="M20" s="1">
        <f t="shared" si="43"/>
        <v>0</v>
      </c>
      <c r="N20" s="1">
        <f t="shared" si="43"/>
        <v>0</v>
      </c>
      <c r="O20" s="1">
        <f t="shared" ref="O20:S20" si="44">IF(O15&gt;0,O15-O18,0)</f>
        <v>0</v>
      </c>
      <c r="P20" s="1">
        <f t="shared" si="44"/>
        <v>0</v>
      </c>
      <c r="Q20" s="1">
        <f t="shared" si="44"/>
        <v>200</v>
      </c>
      <c r="R20" s="1">
        <f t="shared" si="44"/>
        <v>400</v>
      </c>
      <c r="S20" s="1">
        <f t="shared" si="44"/>
        <v>400</v>
      </c>
      <c r="T20" s="1">
        <f t="shared" ref="T20:AC20" si="45">IF(T15&gt;0,T15-T18,0)</f>
        <v>400</v>
      </c>
      <c r="U20" s="1">
        <f t="shared" si="45"/>
        <v>400</v>
      </c>
      <c r="V20" s="1">
        <f t="shared" si="45"/>
        <v>400</v>
      </c>
      <c r="W20" s="1">
        <f t="shared" si="45"/>
        <v>400</v>
      </c>
      <c r="X20" s="1">
        <f t="shared" si="45"/>
        <v>400</v>
      </c>
      <c r="Y20" s="1">
        <f t="shared" si="45"/>
        <v>400</v>
      </c>
      <c r="Z20" s="1">
        <f t="shared" si="45"/>
        <v>400</v>
      </c>
      <c r="AA20" s="1">
        <f t="shared" si="45"/>
        <v>400</v>
      </c>
      <c r="AB20" s="1">
        <f t="shared" si="45"/>
        <v>400</v>
      </c>
      <c r="AC20" s="1">
        <f t="shared" si="45"/>
        <v>400</v>
      </c>
    </row>
    <row r="21" spans="2:29" x14ac:dyDescent="0.25">
      <c r="B21" s="9" t="s">
        <v>300</v>
      </c>
      <c r="C21" t="s">
        <v>277</v>
      </c>
      <c r="D21" s="9" t="s">
        <v>333</v>
      </c>
      <c r="E21" s="1">
        <f t="shared" ref="E21:N21" ca="1" si="46">E20*IF(E5="MAT",E3,E2)-E44</f>
        <v>0</v>
      </c>
      <c r="F21" s="1">
        <f t="shared" ca="1" si="46"/>
        <v>0</v>
      </c>
      <c r="G21" s="1">
        <f t="shared" ca="1" si="46"/>
        <v>0</v>
      </c>
      <c r="H21" s="1">
        <f t="shared" ca="1" si="46"/>
        <v>0</v>
      </c>
      <c r="I21" s="1">
        <f t="shared" ca="1" si="46"/>
        <v>0</v>
      </c>
      <c r="J21" s="1">
        <f t="shared" ca="1" si="46"/>
        <v>0</v>
      </c>
      <c r="K21" s="1">
        <f t="shared" ca="1" si="46"/>
        <v>0</v>
      </c>
      <c r="L21" s="1">
        <f t="shared" ca="1" si="46"/>
        <v>0</v>
      </c>
      <c r="M21" s="1">
        <f t="shared" ca="1" si="46"/>
        <v>0</v>
      </c>
      <c r="N21" s="1">
        <f t="shared" ca="1" si="46"/>
        <v>0</v>
      </c>
      <c r="O21" s="1">
        <f t="shared" ref="O21:S21" ca="1" si="47">O20*IF(O5="MAT",O3,O2)-O44</f>
        <v>0</v>
      </c>
      <c r="P21" s="1">
        <f t="shared" ca="1" si="47"/>
        <v>0</v>
      </c>
      <c r="Q21" s="1">
        <f t="shared" ca="1" si="47"/>
        <v>60</v>
      </c>
      <c r="R21" s="1">
        <f t="shared" ca="1" si="47"/>
        <v>120</v>
      </c>
      <c r="S21" s="1">
        <f t="shared" ca="1" si="47"/>
        <v>120</v>
      </c>
      <c r="T21" s="1">
        <f t="shared" ref="T21:AC21" ca="1" si="48">T20*IF(T5="MAT",T3,T2)-T44</f>
        <v>120</v>
      </c>
      <c r="U21" s="1">
        <f t="shared" ca="1" si="48"/>
        <v>120</v>
      </c>
      <c r="V21" s="1">
        <f t="shared" ca="1" si="48"/>
        <v>120</v>
      </c>
      <c r="W21" s="1">
        <f t="shared" ca="1" si="48"/>
        <v>120</v>
      </c>
      <c r="X21" s="1">
        <f t="shared" ca="1" si="48"/>
        <v>120</v>
      </c>
      <c r="Y21" s="1">
        <f t="shared" ca="1" si="48"/>
        <v>120</v>
      </c>
      <c r="Z21" s="1">
        <f t="shared" ca="1" si="48"/>
        <v>120</v>
      </c>
      <c r="AA21" s="1">
        <f t="shared" ca="1" si="48"/>
        <v>120</v>
      </c>
      <c r="AB21" s="1">
        <f t="shared" ca="1" si="48"/>
        <v>120</v>
      </c>
      <c r="AC21" s="1">
        <f t="shared" ca="1" si="48"/>
        <v>120</v>
      </c>
    </row>
    <row r="22" spans="2:29" x14ac:dyDescent="0.25">
      <c r="B22" s="9" t="s">
        <v>301</v>
      </c>
      <c r="C22" t="s">
        <v>251</v>
      </c>
      <c r="D22" s="9" t="s">
        <v>334</v>
      </c>
      <c r="E22" s="50">
        <f t="shared" ref="E22:N22" ca="1" si="49">IF(E21&gt;0,E21/E15,0)</f>
        <v>0</v>
      </c>
      <c r="F22" s="50">
        <f t="shared" ca="1" si="49"/>
        <v>0</v>
      </c>
      <c r="G22" s="50">
        <f t="shared" ca="1" si="49"/>
        <v>0</v>
      </c>
      <c r="H22" s="50">
        <f t="shared" ca="1" si="49"/>
        <v>0</v>
      </c>
      <c r="I22" s="50">
        <f t="shared" ca="1" si="49"/>
        <v>0</v>
      </c>
      <c r="J22" s="50">
        <f t="shared" ca="1" si="49"/>
        <v>0</v>
      </c>
      <c r="K22" s="50">
        <f t="shared" ca="1" si="49"/>
        <v>0</v>
      </c>
      <c r="L22" s="50">
        <f t="shared" ca="1" si="49"/>
        <v>0</v>
      </c>
      <c r="M22" s="50">
        <f t="shared" ca="1" si="49"/>
        <v>0</v>
      </c>
      <c r="N22" s="50">
        <f t="shared" ca="1" si="49"/>
        <v>0</v>
      </c>
      <c r="O22" s="50">
        <f t="shared" ref="O22:S22" ca="1" si="50">IF(O21&gt;0,O21/O15,0)</f>
        <v>0</v>
      </c>
      <c r="P22" s="50">
        <f t="shared" ca="1" si="50"/>
        <v>0</v>
      </c>
      <c r="Q22" s="50">
        <f t="shared" ca="1" si="50"/>
        <v>0.15</v>
      </c>
      <c r="R22" s="50">
        <f t="shared" ca="1" si="50"/>
        <v>0.3</v>
      </c>
      <c r="S22" s="50">
        <f t="shared" ca="1" si="50"/>
        <v>0.3</v>
      </c>
      <c r="T22" s="50">
        <f t="shared" ref="T22:AC22" ca="1" si="51">IF(T21&gt;0,T21/T15,0)</f>
        <v>0.3</v>
      </c>
      <c r="U22" s="50">
        <f t="shared" ca="1" si="51"/>
        <v>0.3</v>
      </c>
      <c r="V22" s="50">
        <f t="shared" ca="1" si="51"/>
        <v>0.3</v>
      </c>
      <c r="W22" s="50">
        <f t="shared" ca="1" si="51"/>
        <v>0.3</v>
      </c>
      <c r="X22" s="50">
        <f t="shared" ca="1" si="51"/>
        <v>0.3</v>
      </c>
      <c r="Y22" s="50">
        <f t="shared" ca="1" si="51"/>
        <v>0.3</v>
      </c>
      <c r="Z22" s="50">
        <f t="shared" ca="1" si="51"/>
        <v>0.3</v>
      </c>
      <c r="AA22" s="50">
        <f t="shared" ca="1" si="51"/>
        <v>0.3</v>
      </c>
      <c r="AB22" s="50">
        <f t="shared" ca="1" si="51"/>
        <v>0.3</v>
      </c>
      <c r="AC22" s="50">
        <f t="shared" ca="1" si="51"/>
        <v>0.3</v>
      </c>
    </row>
    <row r="23" spans="2:29" x14ac:dyDescent="0.25">
      <c r="E23" s="50"/>
      <c r="F23" s="50"/>
      <c r="G23" s="50"/>
      <c r="H23" s="50"/>
      <c r="I23" s="103"/>
      <c r="J23" s="103"/>
      <c r="K23" s="50"/>
      <c r="L23" s="50"/>
      <c r="M23" s="50"/>
      <c r="N23" s="50"/>
      <c r="O23" s="50"/>
      <c r="P23" s="50"/>
      <c r="Q23" s="50"/>
      <c r="R23" s="50"/>
      <c r="S23" s="50"/>
      <c r="T23" s="50"/>
      <c r="U23" s="50"/>
      <c r="V23" s="50"/>
      <c r="W23" s="50"/>
      <c r="X23" s="50"/>
      <c r="Y23" s="50"/>
      <c r="Z23" s="50"/>
      <c r="AA23" s="50"/>
      <c r="AB23" s="50"/>
      <c r="AC23" s="50"/>
    </row>
    <row r="24" spans="2:29" x14ac:dyDescent="0.25">
      <c r="B24" s="9">
        <v>3</v>
      </c>
      <c r="C24" s="6" t="s">
        <v>250</v>
      </c>
      <c r="D24" s="10"/>
      <c r="E24" s="71"/>
      <c r="F24" s="71"/>
      <c r="G24" s="71"/>
      <c r="H24" s="71"/>
      <c r="I24" s="1"/>
      <c r="J24" s="1"/>
      <c r="L24" s="71"/>
      <c r="M24" s="71"/>
      <c r="N24" s="71"/>
      <c r="O24" s="71"/>
      <c r="P24" s="71"/>
      <c r="Q24" s="71"/>
      <c r="R24" s="71"/>
      <c r="S24" s="71"/>
      <c r="T24" s="71"/>
      <c r="U24" s="71"/>
      <c r="V24" s="71"/>
      <c r="W24" s="71"/>
      <c r="X24" s="71"/>
      <c r="Y24" s="71"/>
      <c r="Z24" s="71"/>
      <c r="AA24" s="71"/>
      <c r="AB24" s="71"/>
      <c r="AC24" s="71"/>
    </row>
    <row r="25" spans="2:29" x14ac:dyDescent="0.25">
      <c r="B25" s="9" t="s">
        <v>305</v>
      </c>
      <c r="C25" t="s">
        <v>249</v>
      </c>
      <c r="D25" s="9" t="s">
        <v>335</v>
      </c>
      <c r="E25" s="1">
        <f t="shared" ref="E25:N25" ca="1" si="52">E9+E15</f>
        <v>-2778.5714285714284</v>
      </c>
      <c r="F25" s="1">
        <f t="shared" ca="1" si="52"/>
        <v>221.42857142857144</v>
      </c>
      <c r="G25" s="1">
        <f t="shared" ca="1" si="52"/>
        <v>221.42857142857144</v>
      </c>
      <c r="H25" s="1">
        <f t="shared" ca="1" si="52"/>
        <v>221.42857142857144</v>
      </c>
      <c r="I25" s="1">
        <f t="shared" ca="1" si="52"/>
        <v>221.42857142857144</v>
      </c>
      <c r="J25" s="1">
        <f t="shared" ca="1" si="52"/>
        <v>621.42857142857144</v>
      </c>
      <c r="K25" s="1">
        <f t="shared" ca="1" si="52"/>
        <v>621.42857142857144</v>
      </c>
      <c r="L25" s="1">
        <f t="shared" ca="1" si="52"/>
        <v>621.42857142857144</v>
      </c>
      <c r="M25" s="1">
        <f t="shared" ca="1" si="52"/>
        <v>621.42857142857144</v>
      </c>
      <c r="N25" s="1">
        <f t="shared" ca="1" si="52"/>
        <v>621.42857142857144</v>
      </c>
      <c r="O25" s="1">
        <f t="shared" ref="O25:S25" ca="1" si="53">O9+O15</f>
        <v>621.42857142857144</v>
      </c>
      <c r="P25" s="1">
        <f t="shared" ca="1" si="53"/>
        <v>621.42857142857144</v>
      </c>
      <c r="Q25" s="1">
        <f t="shared" ca="1" si="53"/>
        <v>621.42857142857144</v>
      </c>
      <c r="R25" s="1">
        <f t="shared" ca="1" si="53"/>
        <v>621.42857142857144</v>
      </c>
      <c r="S25" s="1">
        <f t="shared" ca="1" si="53"/>
        <v>621.42857142857144</v>
      </c>
      <c r="T25" s="1">
        <f t="shared" ref="T25:AC25" ca="1" si="54">T9+T15</f>
        <v>621.42857142857144</v>
      </c>
      <c r="U25" s="1">
        <f t="shared" ca="1" si="54"/>
        <v>621.42857142857144</v>
      </c>
      <c r="V25" s="1">
        <f t="shared" ca="1" si="54"/>
        <v>621.42857142857144</v>
      </c>
      <c r="W25" s="1">
        <f t="shared" ca="1" si="54"/>
        <v>621.42857142857144</v>
      </c>
      <c r="X25" s="1">
        <f t="shared" ca="1" si="54"/>
        <v>621.42857142857144</v>
      </c>
      <c r="Y25" s="1">
        <f t="shared" ca="1" si="54"/>
        <v>621.42857142857144</v>
      </c>
      <c r="Z25" s="1">
        <f t="shared" ca="1" si="54"/>
        <v>621.42857142857144</v>
      </c>
      <c r="AA25" s="1">
        <f t="shared" ca="1" si="54"/>
        <v>621.42857142857144</v>
      </c>
      <c r="AB25" s="1">
        <f t="shared" ca="1" si="54"/>
        <v>621.42857142857144</v>
      </c>
      <c r="AC25" s="1">
        <f t="shared" ca="1" si="54"/>
        <v>621.42857142857144</v>
      </c>
    </row>
    <row r="26" spans="2:29" x14ac:dyDescent="0.25">
      <c r="B26" s="9" t="s">
        <v>306</v>
      </c>
      <c r="C26" t="s">
        <v>248</v>
      </c>
      <c r="D26" s="9" t="s">
        <v>336</v>
      </c>
      <c r="E26" s="1">
        <v>0</v>
      </c>
      <c r="F26" s="1">
        <f t="shared" ref="F26:N26" ca="1" si="55">E29</f>
        <v>-2778.5714285714284</v>
      </c>
      <c r="G26" s="1">
        <f t="shared" ca="1" si="55"/>
        <v>-2557.1428571428569</v>
      </c>
      <c r="H26" s="1">
        <f t="shared" ca="1" si="55"/>
        <v>-2335.7142857142853</v>
      </c>
      <c r="I26" s="1">
        <f t="shared" ca="1" si="55"/>
        <v>-2114.2857142857138</v>
      </c>
      <c r="J26" s="1">
        <f t="shared" ca="1" si="55"/>
        <v>-1892.8571428571422</v>
      </c>
      <c r="K26" s="1">
        <f t="shared" ca="1" si="55"/>
        <v>-1271.4285714285706</v>
      </c>
      <c r="L26" s="1">
        <f t="shared" ca="1" si="55"/>
        <v>-649.9999999999992</v>
      </c>
      <c r="M26" s="1">
        <f t="shared" ca="1" si="55"/>
        <v>-28.571428571427759</v>
      </c>
      <c r="N26" s="1">
        <f t="shared" ca="1" si="55"/>
        <v>0</v>
      </c>
      <c r="O26" s="1">
        <f t="shared" ref="O26" ca="1" si="56">N29</f>
        <v>0</v>
      </c>
      <c r="P26" s="1">
        <f t="shared" ref="P26" ca="1" si="57">O29</f>
        <v>0</v>
      </c>
      <c r="Q26" s="1">
        <f t="shared" ref="Q26" ca="1" si="58">P29</f>
        <v>0</v>
      </c>
      <c r="R26" s="1">
        <f t="shared" ref="R26" ca="1" si="59">Q29</f>
        <v>0</v>
      </c>
      <c r="S26" s="1">
        <f t="shared" ref="S26" ca="1" si="60">R29</f>
        <v>0</v>
      </c>
      <c r="T26" s="1">
        <f t="shared" ref="T26" ca="1" si="61">S29</f>
        <v>0</v>
      </c>
      <c r="U26" s="1">
        <f t="shared" ref="U26" ca="1" si="62">T29</f>
        <v>0</v>
      </c>
      <c r="V26" s="1">
        <f t="shared" ref="V26" ca="1" si="63">U29</f>
        <v>0</v>
      </c>
      <c r="W26" s="1">
        <f t="shared" ref="W26" ca="1" si="64">V29</f>
        <v>0</v>
      </c>
      <c r="X26" s="1">
        <f t="shared" ref="X26" ca="1" si="65">W29</f>
        <v>0</v>
      </c>
      <c r="Y26" s="1">
        <f t="shared" ref="Y26" ca="1" si="66">X29</f>
        <v>0</v>
      </c>
      <c r="Z26" s="1">
        <f t="shared" ref="Z26" ca="1" si="67">Y29</f>
        <v>0</v>
      </c>
      <c r="AA26" s="1">
        <f t="shared" ref="AA26" ca="1" si="68">Z29</f>
        <v>0</v>
      </c>
      <c r="AB26" s="1">
        <f t="shared" ref="AB26" ca="1" si="69">AA29</f>
        <v>0</v>
      </c>
      <c r="AC26" s="1">
        <f t="shared" ref="AC26" ca="1" si="70">AB29</f>
        <v>0</v>
      </c>
    </row>
    <row r="27" spans="2:29" x14ac:dyDescent="0.25">
      <c r="B27" s="9" t="s">
        <v>307</v>
      </c>
      <c r="C27" t="s">
        <v>247</v>
      </c>
      <c r="D27" s="9" t="s">
        <v>337</v>
      </c>
      <c r="E27" s="1">
        <f t="shared" ref="E27:N27" ca="1" si="71">IF(E25&lt;0,E25,0)</f>
        <v>-2778.5714285714284</v>
      </c>
      <c r="F27" s="1">
        <f t="shared" ca="1" si="71"/>
        <v>0</v>
      </c>
      <c r="G27" s="1">
        <f t="shared" ca="1" si="71"/>
        <v>0</v>
      </c>
      <c r="H27" s="1">
        <f t="shared" ca="1" si="71"/>
        <v>0</v>
      </c>
      <c r="I27" s="1">
        <f t="shared" ca="1" si="71"/>
        <v>0</v>
      </c>
      <c r="J27" s="1">
        <f t="shared" ca="1" si="71"/>
        <v>0</v>
      </c>
      <c r="K27" s="1">
        <f t="shared" ca="1" si="71"/>
        <v>0</v>
      </c>
      <c r="L27" s="1">
        <f t="shared" ca="1" si="71"/>
        <v>0</v>
      </c>
      <c r="M27" s="1">
        <f t="shared" ca="1" si="71"/>
        <v>0</v>
      </c>
      <c r="N27" s="1">
        <f t="shared" ca="1" si="71"/>
        <v>0</v>
      </c>
      <c r="O27" s="1">
        <f t="shared" ref="O27:S27" ca="1" si="72">IF(O25&lt;0,O25,0)</f>
        <v>0</v>
      </c>
      <c r="P27" s="1">
        <f t="shared" ca="1" si="72"/>
        <v>0</v>
      </c>
      <c r="Q27" s="1">
        <f t="shared" ca="1" si="72"/>
        <v>0</v>
      </c>
      <c r="R27" s="1">
        <f t="shared" ca="1" si="72"/>
        <v>0</v>
      </c>
      <c r="S27" s="1">
        <f t="shared" ca="1" si="72"/>
        <v>0</v>
      </c>
      <c r="T27" s="1">
        <f t="shared" ref="T27:AC27" ca="1" si="73">IF(T25&lt;0,T25,0)</f>
        <v>0</v>
      </c>
      <c r="U27" s="1">
        <f t="shared" ca="1" si="73"/>
        <v>0</v>
      </c>
      <c r="V27" s="1">
        <f t="shared" ca="1" si="73"/>
        <v>0</v>
      </c>
      <c r="W27" s="1">
        <f t="shared" ca="1" si="73"/>
        <v>0</v>
      </c>
      <c r="X27" s="1">
        <f t="shared" ca="1" si="73"/>
        <v>0</v>
      </c>
      <c r="Y27" s="1">
        <f t="shared" ca="1" si="73"/>
        <v>0</v>
      </c>
      <c r="Z27" s="1">
        <f t="shared" ca="1" si="73"/>
        <v>0</v>
      </c>
      <c r="AA27" s="1">
        <f t="shared" ca="1" si="73"/>
        <v>0</v>
      </c>
      <c r="AB27" s="1">
        <f t="shared" ca="1" si="73"/>
        <v>0</v>
      </c>
      <c r="AC27" s="1">
        <f t="shared" ca="1" si="73"/>
        <v>0</v>
      </c>
    </row>
    <row r="28" spans="2:29" x14ac:dyDescent="0.25">
      <c r="B28" s="9" t="s">
        <v>308</v>
      </c>
      <c r="C28" t="s">
        <v>246</v>
      </c>
      <c r="D28" s="9" t="s">
        <v>338</v>
      </c>
      <c r="E28" s="1">
        <f t="shared" ref="E28:N28" ca="1" si="74">IF(E25&gt;0,MIN(-E26,E25),0)</f>
        <v>0</v>
      </c>
      <c r="F28" s="1">
        <f t="shared" ca="1" si="74"/>
        <v>221.42857142857144</v>
      </c>
      <c r="G28" s="1">
        <f t="shared" ca="1" si="74"/>
        <v>221.42857142857144</v>
      </c>
      <c r="H28" s="1">
        <f t="shared" ca="1" si="74"/>
        <v>221.42857142857144</v>
      </c>
      <c r="I28" s="1">
        <f t="shared" ca="1" si="74"/>
        <v>221.42857142857144</v>
      </c>
      <c r="J28" s="1">
        <f t="shared" ca="1" si="74"/>
        <v>621.42857142857144</v>
      </c>
      <c r="K28" s="1">
        <f t="shared" ca="1" si="74"/>
        <v>621.42857142857144</v>
      </c>
      <c r="L28" s="1">
        <f t="shared" ca="1" si="74"/>
        <v>621.42857142857144</v>
      </c>
      <c r="M28" s="1">
        <f t="shared" ca="1" si="74"/>
        <v>28.571428571427759</v>
      </c>
      <c r="N28" s="1">
        <f t="shared" ca="1" si="74"/>
        <v>0</v>
      </c>
      <c r="O28" s="1">
        <f t="shared" ref="O28:S28" ca="1" si="75">IF(O25&gt;0,MIN(-O26,O25),0)</f>
        <v>0</v>
      </c>
      <c r="P28" s="1">
        <f t="shared" ca="1" si="75"/>
        <v>0</v>
      </c>
      <c r="Q28" s="1">
        <f t="shared" ca="1" si="75"/>
        <v>0</v>
      </c>
      <c r="R28" s="1">
        <f t="shared" ca="1" si="75"/>
        <v>0</v>
      </c>
      <c r="S28" s="1">
        <f t="shared" ca="1" si="75"/>
        <v>0</v>
      </c>
      <c r="T28" s="1">
        <f t="shared" ref="T28:AC28" ca="1" si="76">IF(T25&gt;0,MIN(-T26,T25),0)</f>
        <v>0</v>
      </c>
      <c r="U28" s="1">
        <f t="shared" ca="1" si="76"/>
        <v>0</v>
      </c>
      <c r="V28" s="1">
        <f t="shared" ca="1" si="76"/>
        <v>0</v>
      </c>
      <c r="W28" s="1">
        <f t="shared" ca="1" si="76"/>
        <v>0</v>
      </c>
      <c r="X28" s="1">
        <f t="shared" ca="1" si="76"/>
        <v>0</v>
      </c>
      <c r="Y28" s="1">
        <f t="shared" ca="1" si="76"/>
        <v>0</v>
      </c>
      <c r="Z28" s="1">
        <f t="shared" ca="1" si="76"/>
        <v>0</v>
      </c>
      <c r="AA28" s="1">
        <f t="shared" ca="1" si="76"/>
        <v>0</v>
      </c>
      <c r="AB28" s="1">
        <f t="shared" ca="1" si="76"/>
        <v>0</v>
      </c>
      <c r="AC28" s="1">
        <f t="shared" ca="1" si="76"/>
        <v>0</v>
      </c>
    </row>
    <row r="29" spans="2:29" x14ac:dyDescent="0.25">
      <c r="B29" s="9" t="s">
        <v>309</v>
      </c>
      <c r="C29" t="s">
        <v>245</v>
      </c>
      <c r="D29" s="9" t="s">
        <v>339</v>
      </c>
      <c r="E29" s="1">
        <f t="shared" ref="E29:N29" ca="1" si="77">E26+E27+E28</f>
        <v>-2778.5714285714284</v>
      </c>
      <c r="F29" s="1">
        <f t="shared" ca="1" si="77"/>
        <v>-2557.1428571428569</v>
      </c>
      <c r="G29" s="1">
        <f t="shared" ca="1" si="77"/>
        <v>-2335.7142857142853</v>
      </c>
      <c r="H29" s="1">
        <f t="shared" ca="1" si="77"/>
        <v>-2114.2857142857138</v>
      </c>
      <c r="I29" s="1">
        <f t="shared" ca="1" si="77"/>
        <v>-1892.8571428571422</v>
      </c>
      <c r="J29" s="1">
        <f t="shared" ca="1" si="77"/>
        <v>-1271.4285714285706</v>
      </c>
      <c r="K29" s="1">
        <f t="shared" ca="1" si="77"/>
        <v>-649.9999999999992</v>
      </c>
      <c r="L29" s="1">
        <f t="shared" ca="1" si="77"/>
        <v>-28.571428571427759</v>
      </c>
      <c r="M29" s="1">
        <f t="shared" ca="1" si="77"/>
        <v>0</v>
      </c>
      <c r="N29" s="1">
        <f t="shared" ca="1" si="77"/>
        <v>0</v>
      </c>
      <c r="O29" s="1">
        <f t="shared" ref="O29:S29" ca="1" si="78">O26+O27+O28</f>
        <v>0</v>
      </c>
      <c r="P29" s="1">
        <f t="shared" ca="1" si="78"/>
        <v>0</v>
      </c>
      <c r="Q29" s="1">
        <f t="shared" ca="1" si="78"/>
        <v>0</v>
      </c>
      <c r="R29" s="1">
        <f t="shared" ca="1" si="78"/>
        <v>0</v>
      </c>
      <c r="S29" s="1">
        <f t="shared" ca="1" si="78"/>
        <v>0</v>
      </c>
      <c r="T29" s="1">
        <f t="shared" ref="T29:AC29" ca="1" si="79">T26+T27+T28</f>
        <v>0</v>
      </c>
      <c r="U29" s="1">
        <f t="shared" ca="1" si="79"/>
        <v>0</v>
      </c>
      <c r="V29" s="1">
        <f t="shared" ca="1" si="79"/>
        <v>0</v>
      </c>
      <c r="W29" s="1">
        <f t="shared" ca="1" si="79"/>
        <v>0</v>
      </c>
      <c r="X29" s="1">
        <f t="shared" ca="1" si="79"/>
        <v>0</v>
      </c>
      <c r="Y29" s="1">
        <f t="shared" ca="1" si="79"/>
        <v>0</v>
      </c>
      <c r="Z29" s="1">
        <f t="shared" ca="1" si="79"/>
        <v>0</v>
      </c>
      <c r="AA29" s="1">
        <f t="shared" ca="1" si="79"/>
        <v>0</v>
      </c>
      <c r="AB29" s="1">
        <f t="shared" ca="1" si="79"/>
        <v>0</v>
      </c>
      <c r="AC29" s="1">
        <f t="shared" ca="1" si="79"/>
        <v>0</v>
      </c>
    </row>
    <row r="30" spans="2:29" x14ac:dyDescent="0.25">
      <c r="B30" s="9" t="s">
        <v>310</v>
      </c>
      <c r="C30" t="s">
        <v>265</v>
      </c>
      <c r="D30" s="9" t="s">
        <v>340</v>
      </c>
      <c r="E30" s="1">
        <f t="shared" ref="E30:N30" ca="1" si="80">IF(E25&gt;0,E25-E28,0)</f>
        <v>0</v>
      </c>
      <c r="F30" s="1">
        <f t="shared" ca="1" si="80"/>
        <v>0</v>
      </c>
      <c r="G30" s="1">
        <f t="shared" ca="1" si="80"/>
        <v>0</v>
      </c>
      <c r="H30" s="1">
        <f t="shared" ca="1" si="80"/>
        <v>0</v>
      </c>
      <c r="I30" s="1">
        <f t="shared" ca="1" si="80"/>
        <v>0</v>
      </c>
      <c r="J30" s="1">
        <f t="shared" ca="1" si="80"/>
        <v>0</v>
      </c>
      <c r="K30" s="1">
        <f t="shared" ca="1" si="80"/>
        <v>0</v>
      </c>
      <c r="L30" s="1">
        <f t="shared" ca="1" si="80"/>
        <v>0</v>
      </c>
      <c r="M30" s="1">
        <f t="shared" ca="1" si="80"/>
        <v>592.85714285714369</v>
      </c>
      <c r="N30" s="1">
        <f t="shared" ca="1" si="80"/>
        <v>621.42857142857144</v>
      </c>
      <c r="O30" s="1">
        <f t="shared" ref="O30:S30" ca="1" si="81">IF(O25&gt;0,O25-O28,0)</f>
        <v>621.42857142857144</v>
      </c>
      <c r="P30" s="1">
        <f t="shared" ca="1" si="81"/>
        <v>621.42857142857144</v>
      </c>
      <c r="Q30" s="1">
        <f t="shared" ca="1" si="81"/>
        <v>621.42857142857144</v>
      </c>
      <c r="R30" s="1">
        <f t="shared" ca="1" si="81"/>
        <v>621.42857142857144</v>
      </c>
      <c r="S30" s="1">
        <f t="shared" ca="1" si="81"/>
        <v>621.42857142857144</v>
      </c>
      <c r="T30" s="1">
        <f t="shared" ref="T30:AC30" ca="1" si="82">IF(T25&gt;0,T25-T28,0)</f>
        <v>621.42857142857144</v>
      </c>
      <c r="U30" s="1">
        <f t="shared" ca="1" si="82"/>
        <v>621.42857142857144</v>
      </c>
      <c r="V30" s="1">
        <f t="shared" ca="1" si="82"/>
        <v>621.42857142857144</v>
      </c>
      <c r="W30" s="1">
        <f t="shared" ca="1" si="82"/>
        <v>621.42857142857144</v>
      </c>
      <c r="X30" s="1">
        <f t="shared" ca="1" si="82"/>
        <v>621.42857142857144</v>
      </c>
      <c r="Y30" s="1">
        <f t="shared" ca="1" si="82"/>
        <v>621.42857142857144</v>
      </c>
      <c r="Z30" s="1">
        <f t="shared" ca="1" si="82"/>
        <v>621.42857142857144</v>
      </c>
      <c r="AA30" s="1">
        <f t="shared" ca="1" si="82"/>
        <v>621.42857142857144</v>
      </c>
      <c r="AB30" s="1">
        <f t="shared" ca="1" si="82"/>
        <v>621.42857142857144</v>
      </c>
      <c r="AC30" s="1">
        <f t="shared" ca="1" si="82"/>
        <v>621.42857142857144</v>
      </c>
    </row>
    <row r="31" spans="2:29" x14ac:dyDescent="0.25">
      <c r="B31" s="9" t="s">
        <v>311</v>
      </c>
      <c r="C31" t="s">
        <v>271</v>
      </c>
      <c r="D31" s="9" t="s">
        <v>341</v>
      </c>
      <c r="E31" s="1">
        <f t="shared" ref="E31:N31" ca="1" si="83">IF(E4="No",(E30*E2),0)</f>
        <v>0</v>
      </c>
      <c r="F31" s="1">
        <f t="shared" ca="1" si="83"/>
        <v>0</v>
      </c>
      <c r="G31" s="1">
        <f t="shared" ca="1" si="83"/>
        <v>0</v>
      </c>
      <c r="H31" s="1">
        <f t="shared" ca="1" si="83"/>
        <v>0</v>
      </c>
      <c r="I31" s="1">
        <f t="shared" ca="1" si="83"/>
        <v>0</v>
      </c>
      <c r="J31" s="1">
        <f t="shared" ca="1" si="83"/>
        <v>0</v>
      </c>
      <c r="K31" s="1">
        <f t="shared" ca="1" si="83"/>
        <v>0</v>
      </c>
      <c r="L31" s="1">
        <f t="shared" ca="1" si="83"/>
        <v>0</v>
      </c>
      <c r="M31" s="1">
        <f t="shared" ca="1" si="83"/>
        <v>177.85714285714309</v>
      </c>
      <c r="N31" s="1">
        <f t="shared" ca="1" si="83"/>
        <v>186.42857142857142</v>
      </c>
      <c r="O31" s="1">
        <f t="shared" ref="O31:S31" ca="1" si="84">IF(O4="No",(O30*O2),0)</f>
        <v>186.42857142857142</v>
      </c>
      <c r="P31" s="1">
        <f t="shared" ca="1" si="84"/>
        <v>186.42857142857142</v>
      </c>
      <c r="Q31" s="1">
        <f t="shared" ca="1" si="84"/>
        <v>186.42857142857142</v>
      </c>
      <c r="R31" s="1">
        <f t="shared" ca="1" si="84"/>
        <v>186.42857142857142</v>
      </c>
      <c r="S31" s="1">
        <f t="shared" ca="1" si="84"/>
        <v>186.42857142857142</v>
      </c>
      <c r="T31" s="1">
        <f t="shared" ref="T31:AC31" ca="1" si="85">IF(T4="No",(T30*T2),0)</f>
        <v>186.42857142857142</v>
      </c>
      <c r="U31" s="1">
        <f t="shared" ca="1" si="85"/>
        <v>186.42857142857142</v>
      </c>
      <c r="V31" s="1">
        <f t="shared" ca="1" si="85"/>
        <v>186.42857142857142</v>
      </c>
      <c r="W31" s="1">
        <f t="shared" ca="1" si="85"/>
        <v>186.42857142857142</v>
      </c>
      <c r="X31" s="1">
        <f t="shared" ca="1" si="85"/>
        <v>186.42857142857142</v>
      </c>
      <c r="Y31" s="1">
        <f t="shared" ca="1" si="85"/>
        <v>186.42857142857142</v>
      </c>
      <c r="Z31" s="1">
        <f t="shared" ca="1" si="85"/>
        <v>186.42857142857142</v>
      </c>
      <c r="AA31" s="1">
        <f t="shared" ca="1" si="85"/>
        <v>186.42857142857142</v>
      </c>
      <c r="AB31" s="1">
        <f t="shared" ca="1" si="85"/>
        <v>186.42857142857142</v>
      </c>
      <c r="AC31" s="1">
        <f t="shared" ca="1" si="85"/>
        <v>186.42857142857142</v>
      </c>
    </row>
    <row r="32" spans="2:29" x14ac:dyDescent="0.25">
      <c r="B32" s="9" t="s">
        <v>312</v>
      </c>
      <c r="C32" t="s">
        <v>272</v>
      </c>
      <c r="D32" s="9" t="s">
        <v>342</v>
      </c>
      <c r="E32" s="1">
        <f t="shared" ref="E32:N32" ca="1" si="86">E30*E3</f>
        <v>0</v>
      </c>
      <c r="F32" s="1">
        <f t="shared" ca="1" si="86"/>
        <v>0</v>
      </c>
      <c r="G32" s="1">
        <f t="shared" ca="1" si="86"/>
        <v>0</v>
      </c>
      <c r="H32" s="1">
        <f t="shared" ca="1" si="86"/>
        <v>0</v>
      </c>
      <c r="I32" s="1">
        <f t="shared" ca="1" si="86"/>
        <v>0</v>
      </c>
      <c r="J32" s="1">
        <f t="shared" ca="1" si="86"/>
        <v>0</v>
      </c>
      <c r="K32" s="1">
        <f t="shared" ca="1" si="86"/>
        <v>0</v>
      </c>
      <c r="L32" s="1">
        <f t="shared" ca="1" si="86"/>
        <v>0</v>
      </c>
      <c r="M32" s="1">
        <f t="shared" ca="1" si="86"/>
        <v>118.57142857142874</v>
      </c>
      <c r="N32" s="1">
        <f t="shared" ca="1" si="86"/>
        <v>124.28571428571429</v>
      </c>
      <c r="O32" s="1">
        <f t="shared" ref="O32:S32" ca="1" si="87">O30*O3</f>
        <v>124.28571428571429</v>
      </c>
      <c r="P32" s="1">
        <f t="shared" ca="1" si="87"/>
        <v>124.28571428571429</v>
      </c>
      <c r="Q32" s="1">
        <f t="shared" ca="1" si="87"/>
        <v>124.28571428571429</v>
      </c>
      <c r="R32" s="1">
        <f t="shared" ca="1" si="87"/>
        <v>124.28571428571429</v>
      </c>
      <c r="S32" s="1">
        <f t="shared" ca="1" si="87"/>
        <v>124.28571428571429</v>
      </c>
      <c r="T32" s="1">
        <f t="shared" ref="T32:AC32" ca="1" si="88">T30*T3</f>
        <v>124.28571428571429</v>
      </c>
      <c r="U32" s="1">
        <f t="shared" ca="1" si="88"/>
        <v>124.28571428571429</v>
      </c>
      <c r="V32" s="1">
        <f t="shared" ca="1" si="88"/>
        <v>124.28571428571429</v>
      </c>
      <c r="W32" s="1">
        <f t="shared" ca="1" si="88"/>
        <v>124.28571428571429</v>
      </c>
      <c r="X32" s="1">
        <f t="shared" ca="1" si="88"/>
        <v>124.28571428571429</v>
      </c>
      <c r="Y32" s="1">
        <f t="shared" ca="1" si="88"/>
        <v>124.28571428571429</v>
      </c>
      <c r="Z32" s="1">
        <f t="shared" ca="1" si="88"/>
        <v>124.28571428571429</v>
      </c>
      <c r="AA32" s="1">
        <f t="shared" ca="1" si="88"/>
        <v>124.28571428571429</v>
      </c>
      <c r="AB32" s="1">
        <f t="shared" ca="1" si="88"/>
        <v>124.28571428571429</v>
      </c>
      <c r="AC32" s="1">
        <f t="shared" ca="1" si="88"/>
        <v>124.28571428571429</v>
      </c>
    </row>
    <row r="33" spans="2:29" x14ac:dyDescent="0.25">
      <c r="B33" s="9" t="s">
        <v>302</v>
      </c>
      <c r="C33" t="s">
        <v>242</v>
      </c>
      <c r="D33" s="9" t="s">
        <v>343</v>
      </c>
      <c r="E33" s="1">
        <f ca="1">MAX(E31:E32)</f>
        <v>0</v>
      </c>
      <c r="F33" s="1">
        <f t="shared" ref="F33:N33" ca="1" si="89">MAX(F31:F32)</f>
        <v>0</v>
      </c>
      <c r="G33" s="1">
        <f t="shared" ca="1" si="89"/>
        <v>0</v>
      </c>
      <c r="H33" s="1">
        <f t="shared" ca="1" si="89"/>
        <v>0</v>
      </c>
      <c r="I33" s="1">
        <f t="shared" ca="1" si="89"/>
        <v>0</v>
      </c>
      <c r="J33" s="1">
        <f t="shared" ca="1" si="89"/>
        <v>0</v>
      </c>
      <c r="K33" s="1">
        <f t="shared" ca="1" si="89"/>
        <v>0</v>
      </c>
      <c r="L33" s="1">
        <f t="shared" ca="1" si="89"/>
        <v>0</v>
      </c>
      <c r="M33" s="1">
        <f t="shared" ca="1" si="89"/>
        <v>177.85714285714309</v>
      </c>
      <c r="N33" s="1">
        <f t="shared" ca="1" si="89"/>
        <v>186.42857142857142</v>
      </c>
      <c r="O33" s="1">
        <f t="shared" ref="O33:S33" ca="1" si="90">MAX(O31:O32)</f>
        <v>186.42857142857142</v>
      </c>
      <c r="P33" s="1">
        <f t="shared" ca="1" si="90"/>
        <v>186.42857142857142</v>
      </c>
      <c r="Q33" s="1">
        <f t="shared" ca="1" si="90"/>
        <v>186.42857142857142</v>
      </c>
      <c r="R33" s="1">
        <f t="shared" ca="1" si="90"/>
        <v>186.42857142857142</v>
      </c>
      <c r="S33" s="1">
        <f t="shared" ca="1" si="90"/>
        <v>186.42857142857142</v>
      </c>
      <c r="T33" s="1">
        <f t="shared" ref="T33:AC33" ca="1" si="91">MAX(T31:T32)</f>
        <v>186.42857142857142</v>
      </c>
      <c r="U33" s="1">
        <f t="shared" ca="1" si="91"/>
        <v>186.42857142857142</v>
      </c>
      <c r="V33" s="1">
        <f t="shared" ca="1" si="91"/>
        <v>186.42857142857142</v>
      </c>
      <c r="W33" s="1">
        <f t="shared" ca="1" si="91"/>
        <v>186.42857142857142</v>
      </c>
      <c r="X33" s="1">
        <f t="shared" ca="1" si="91"/>
        <v>186.42857142857142</v>
      </c>
      <c r="Y33" s="1">
        <f t="shared" ca="1" si="91"/>
        <v>186.42857142857142</v>
      </c>
      <c r="Z33" s="1">
        <f t="shared" ca="1" si="91"/>
        <v>186.42857142857142</v>
      </c>
      <c r="AA33" s="1">
        <f t="shared" ca="1" si="91"/>
        <v>186.42857142857142</v>
      </c>
      <c r="AB33" s="1">
        <f t="shared" ca="1" si="91"/>
        <v>186.42857142857142</v>
      </c>
      <c r="AC33" s="1">
        <f t="shared" ca="1" si="91"/>
        <v>186.42857142857142</v>
      </c>
    </row>
    <row r="34" spans="2:29" x14ac:dyDescent="0.25">
      <c r="B34" s="9" t="s">
        <v>313</v>
      </c>
      <c r="C34" t="s">
        <v>276</v>
      </c>
      <c r="D34" s="9" t="s">
        <v>344</v>
      </c>
      <c r="E34" s="1">
        <f t="shared" ref="E34:N34" ca="1" si="92">E33-E41</f>
        <v>0</v>
      </c>
      <c r="F34" s="1">
        <f t="shared" ca="1" si="92"/>
        <v>0</v>
      </c>
      <c r="G34" s="1">
        <f t="shared" ca="1" si="92"/>
        <v>0</v>
      </c>
      <c r="H34" s="1">
        <f t="shared" ca="1" si="92"/>
        <v>0</v>
      </c>
      <c r="I34" s="1">
        <f t="shared" ca="1" si="92"/>
        <v>0</v>
      </c>
      <c r="J34" s="1">
        <f t="shared" ca="1" si="92"/>
        <v>0</v>
      </c>
      <c r="K34" s="1">
        <f t="shared" ca="1" si="92"/>
        <v>0</v>
      </c>
      <c r="L34" s="1">
        <f t="shared" ca="1" si="92"/>
        <v>0</v>
      </c>
      <c r="M34" s="1">
        <f t="shared" ca="1" si="92"/>
        <v>177.85714285714309</v>
      </c>
      <c r="N34" s="1">
        <f t="shared" ca="1" si="92"/>
        <v>186.42857142857142</v>
      </c>
      <c r="O34" s="1">
        <f t="shared" ref="O34:S34" ca="1" si="93">O33-O41</f>
        <v>186.42857142857142</v>
      </c>
      <c r="P34" s="1">
        <f t="shared" ca="1" si="93"/>
        <v>186.42857142857142</v>
      </c>
      <c r="Q34" s="1">
        <f t="shared" ca="1" si="93"/>
        <v>186.42857142857142</v>
      </c>
      <c r="R34" s="1">
        <f t="shared" ca="1" si="93"/>
        <v>186.42857142857142</v>
      </c>
      <c r="S34" s="1">
        <f t="shared" ca="1" si="93"/>
        <v>186.42857142857142</v>
      </c>
      <c r="T34" s="1">
        <f t="shared" ref="T34:AC34" ca="1" si="94">T33-T41</f>
        <v>186.42857142857142</v>
      </c>
      <c r="U34" s="1">
        <f t="shared" ca="1" si="94"/>
        <v>186.42857142857142</v>
      </c>
      <c r="V34" s="1">
        <f t="shared" ca="1" si="94"/>
        <v>186.42857142857142</v>
      </c>
      <c r="W34" s="1">
        <f t="shared" ca="1" si="94"/>
        <v>186.42857142857142</v>
      </c>
      <c r="X34" s="1">
        <f t="shared" ca="1" si="94"/>
        <v>186.42857142857142</v>
      </c>
      <c r="Y34" s="1">
        <f t="shared" ca="1" si="94"/>
        <v>186.42857142857142</v>
      </c>
      <c r="Z34" s="1">
        <f t="shared" ca="1" si="94"/>
        <v>186.42857142857142</v>
      </c>
      <c r="AA34" s="1">
        <f t="shared" ca="1" si="94"/>
        <v>186.42857142857142</v>
      </c>
      <c r="AB34" s="1">
        <f t="shared" ca="1" si="94"/>
        <v>186.42857142857142</v>
      </c>
      <c r="AC34" s="1">
        <f t="shared" ca="1" si="94"/>
        <v>186.42857142857142</v>
      </c>
    </row>
    <row r="35" spans="2:29" x14ac:dyDescent="0.25">
      <c r="B35" s="9" t="s">
        <v>314</v>
      </c>
      <c r="C35" s="6" t="s">
        <v>267</v>
      </c>
      <c r="D35" s="106" t="s">
        <v>345</v>
      </c>
      <c r="E35" s="78">
        <f t="shared" ref="E35:N35" ca="1" si="95">IF(E34&gt;0,E34/E25,0)</f>
        <v>0</v>
      </c>
      <c r="F35" s="78">
        <f t="shared" ca="1" si="95"/>
        <v>0</v>
      </c>
      <c r="G35" s="78">
        <f t="shared" ca="1" si="95"/>
        <v>0</v>
      </c>
      <c r="H35" s="78">
        <f t="shared" ca="1" si="95"/>
        <v>0</v>
      </c>
      <c r="I35" s="78">
        <f t="shared" ca="1" si="95"/>
        <v>0</v>
      </c>
      <c r="J35" s="78">
        <f t="shared" ca="1" si="95"/>
        <v>0</v>
      </c>
      <c r="K35" s="78">
        <f t="shared" ca="1" si="95"/>
        <v>0</v>
      </c>
      <c r="L35" s="78">
        <f t="shared" ca="1" si="95"/>
        <v>0</v>
      </c>
      <c r="M35" s="78">
        <f t="shared" ca="1" si="95"/>
        <v>0.28620689655172449</v>
      </c>
      <c r="N35" s="78">
        <f t="shared" ca="1" si="95"/>
        <v>0.3</v>
      </c>
      <c r="O35" s="78">
        <f t="shared" ref="O35:S35" ca="1" si="96">IF(O34&gt;0,O34/O25,0)</f>
        <v>0.3</v>
      </c>
      <c r="P35" s="78">
        <f t="shared" ca="1" si="96"/>
        <v>0.3</v>
      </c>
      <c r="Q35" s="78">
        <f t="shared" ca="1" si="96"/>
        <v>0.3</v>
      </c>
      <c r="R35" s="78">
        <f t="shared" ca="1" si="96"/>
        <v>0.3</v>
      </c>
      <c r="S35" s="78">
        <f t="shared" ca="1" si="96"/>
        <v>0.3</v>
      </c>
      <c r="T35" s="78">
        <f t="shared" ref="T35:AC35" ca="1" si="97">IF(T34&gt;0,T34/T25,0)</f>
        <v>0.3</v>
      </c>
      <c r="U35" s="78">
        <f t="shared" ca="1" si="97"/>
        <v>0.3</v>
      </c>
      <c r="V35" s="78">
        <f t="shared" ca="1" si="97"/>
        <v>0.3</v>
      </c>
      <c r="W35" s="78">
        <f t="shared" ca="1" si="97"/>
        <v>0.3</v>
      </c>
      <c r="X35" s="78">
        <f t="shared" ca="1" si="97"/>
        <v>0.3</v>
      </c>
      <c r="Y35" s="78">
        <f t="shared" ca="1" si="97"/>
        <v>0.3</v>
      </c>
      <c r="Z35" s="78">
        <f t="shared" ca="1" si="97"/>
        <v>0.3</v>
      </c>
      <c r="AA35" s="78">
        <f t="shared" ca="1" si="97"/>
        <v>0.3</v>
      </c>
      <c r="AB35" s="78">
        <f t="shared" ca="1" si="97"/>
        <v>0.3</v>
      </c>
      <c r="AC35" s="78">
        <f t="shared" ca="1" si="97"/>
        <v>0.3</v>
      </c>
    </row>
    <row r="36" spans="2:29" x14ac:dyDescent="0.25">
      <c r="C36" s="6"/>
      <c r="D36" s="10"/>
      <c r="E36" s="78"/>
      <c r="F36" s="78"/>
      <c r="G36" s="78"/>
      <c r="H36" s="78"/>
      <c r="I36" s="78"/>
      <c r="J36" s="78"/>
      <c r="K36" s="78"/>
      <c r="L36" s="78"/>
      <c r="M36" s="78"/>
      <c r="N36" s="78"/>
      <c r="O36" s="78"/>
      <c r="P36" s="78"/>
      <c r="Q36" s="78"/>
      <c r="R36" s="78"/>
      <c r="S36" s="78"/>
      <c r="T36" s="78"/>
      <c r="U36" s="78"/>
      <c r="V36" s="78"/>
      <c r="W36" s="78"/>
      <c r="X36" s="78"/>
      <c r="Y36" s="78"/>
      <c r="Z36" s="78"/>
      <c r="AA36" s="78"/>
      <c r="AB36" s="78"/>
      <c r="AC36" s="78"/>
    </row>
    <row r="37" spans="2:29" x14ac:dyDescent="0.25">
      <c r="B37" s="107">
        <v>4</v>
      </c>
      <c r="C37" s="105" t="s">
        <v>282</v>
      </c>
      <c r="D37" s="107"/>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row>
    <row r="38" spans="2:29" x14ac:dyDescent="0.25">
      <c r="B38" s="107" t="s">
        <v>317</v>
      </c>
      <c r="C38" s="101" t="s">
        <v>273</v>
      </c>
      <c r="D38" s="107" t="s">
        <v>321</v>
      </c>
      <c r="E38" s="101">
        <v>0</v>
      </c>
      <c r="F38" s="102">
        <f ca="1">E42</f>
        <v>0</v>
      </c>
      <c r="G38" s="102">
        <f t="shared" ref="G38:N38" ca="1" si="98">F42</f>
        <v>0</v>
      </c>
      <c r="H38" s="102">
        <f t="shared" ca="1" si="98"/>
        <v>0</v>
      </c>
      <c r="I38" s="102">
        <f t="shared" ca="1" si="98"/>
        <v>0</v>
      </c>
      <c r="J38" s="102">
        <f t="shared" ca="1" si="98"/>
        <v>0</v>
      </c>
      <c r="K38" s="102">
        <f t="shared" ca="1" si="98"/>
        <v>0</v>
      </c>
      <c r="L38" s="102">
        <f t="shared" ca="1" si="98"/>
        <v>0</v>
      </c>
      <c r="M38" s="102">
        <f t="shared" ca="1" si="98"/>
        <v>0</v>
      </c>
      <c r="N38" s="102">
        <f t="shared" ca="1" si="98"/>
        <v>0</v>
      </c>
      <c r="O38" s="102">
        <f t="shared" ref="O38" ca="1" si="99">N42</f>
        <v>0</v>
      </c>
      <c r="P38" s="102">
        <f t="shared" ref="P38" ca="1" si="100">O42</f>
        <v>0</v>
      </c>
      <c r="Q38" s="102">
        <f t="shared" ref="Q38" ca="1" si="101">P42</f>
        <v>0</v>
      </c>
      <c r="R38" s="102">
        <f t="shared" ref="R38" ca="1" si="102">Q42</f>
        <v>0</v>
      </c>
      <c r="S38" s="102">
        <f t="shared" ref="S38" ca="1" si="103">R42</f>
        <v>0</v>
      </c>
      <c r="T38" s="102">
        <f t="shared" ref="T38" ca="1" si="104">S42</f>
        <v>0</v>
      </c>
      <c r="U38" s="102">
        <f t="shared" ref="U38" ca="1" si="105">T42</f>
        <v>0</v>
      </c>
      <c r="V38" s="102">
        <f t="shared" ref="V38" ca="1" si="106">U42</f>
        <v>0</v>
      </c>
      <c r="W38" s="102">
        <f t="shared" ref="W38" ca="1" si="107">V42</f>
        <v>0</v>
      </c>
      <c r="X38" s="102">
        <f t="shared" ref="X38" ca="1" si="108">W42</f>
        <v>0</v>
      </c>
      <c r="Y38" s="102">
        <f t="shared" ref="Y38" ca="1" si="109">X42</f>
        <v>0</v>
      </c>
      <c r="Z38" s="102">
        <f t="shared" ref="Z38" ca="1" si="110">Y42</f>
        <v>0</v>
      </c>
      <c r="AA38" s="102">
        <f t="shared" ref="AA38" ca="1" si="111">Z42</f>
        <v>0</v>
      </c>
      <c r="AB38" s="102">
        <f t="shared" ref="AB38" ca="1" si="112">AA42</f>
        <v>0</v>
      </c>
      <c r="AC38" s="102">
        <f t="shared" ref="AC38" ca="1" si="113">AB42</f>
        <v>0</v>
      </c>
    </row>
    <row r="39" spans="2:29" x14ac:dyDescent="0.25">
      <c r="B39" s="107" t="s">
        <v>318</v>
      </c>
      <c r="C39" s="101" t="s">
        <v>233</v>
      </c>
      <c r="D39" s="107" t="s">
        <v>346</v>
      </c>
      <c r="E39" s="102">
        <f t="shared" ref="E39:N39" ca="1" si="114">IF(E5="MAT",E32-E31,0)</f>
        <v>0</v>
      </c>
      <c r="F39" s="102">
        <f t="shared" ca="1" si="114"/>
        <v>0</v>
      </c>
      <c r="G39" s="102">
        <f t="shared" ca="1" si="114"/>
        <v>0</v>
      </c>
      <c r="H39" s="102">
        <f t="shared" ca="1" si="114"/>
        <v>0</v>
      </c>
      <c r="I39" s="102">
        <f t="shared" ca="1" si="114"/>
        <v>0</v>
      </c>
      <c r="J39" s="102">
        <f t="shared" ca="1" si="114"/>
        <v>0</v>
      </c>
      <c r="K39" s="102">
        <f t="shared" ca="1" si="114"/>
        <v>0</v>
      </c>
      <c r="L39" s="102">
        <f t="shared" ca="1" si="114"/>
        <v>0</v>
      </c>
      <c r="M39" s="102">
        <f t="shared" ca="1" si="114"/>
        <v>0</v>
      </c>
      <c r="N39" s="102">
        <f t="shared" ca="1" si="114"/>
        <v>0</v>
      </c>
      <c r="O39" s="102">
        <f t="shared" ref="O39:S39" ca="1" si="115">IF(O5="MAT",O32-O31,0)</f>
        <v>0</v>
      </c>
      <c r="P39" s="102">
        <f t="shared" ca="1" si="115"/>
        <v>0</v>
      </c>
      <c r="Q39" s="102">
        <f t="shared" ca="1" si="115"/>
        <v>0</v>
      </c>
      <c r="R39" s="102">
        <f t="shared" ca="1" si="115"/>
        <v>0</v>
      </c>
      <c r="S39" s="102">
        <f t="shared" ca="1" si="115"/>
        <v>0</v>
      </c>
      <c r="T39" s="102">
        <f t="shared" ref="T39:AC39" ca="1" si="116">IF(T5="MAT",T32-T31,0)</f>
        <v>0</v>
      </c>
      <c r="U39" s="102">
        <f t="shared" ca="1" si="116"/>
        <v>0</v>
      </c>
      <c r="V39" s="102">
        <f t="shared" ca="1" si="116"/>
        <v>0</v>
      </c>
      <c r="W39" s="102">
        <f t="shared" ca="1" si="116"/>
        <v>0</v>
      </c>
      <c r="X39" s="102">
        <f t="shared" ca="1" si="116"/>
        <v>0</v>
      </c>
      <c r="Y39" s="102">
        <f t="shared" ca="1" si="116"/>
        <v>0</v>
      </c>
      <c r="Z39" s="102">
        <f t="shared" ca="1" si="116"/>
        <v>0</v>
      </c>
      <c r="AA39" s="102">
        <f t="shared" ca="1" si="116"/>
        <v>0</v>
      </c>
      <c r="AB39" s="102">
        <f t="shared" ca="1" si="116"/>
        <v>0</v>
      </c>
      <c r="AC39" s="102">
        <f t="shared" ca="1" si="116"/>
        <v>0</v>
      </c>
    </row>
    <row r="40" spans="2:29" x14ac:dyDescent="0.25">
      <c r="B40" s="107" t="s">
        <v>319</v>
      </c>
      <c r="C40" s="101" t="s">
        <v>274</v>
      </c>
      <c r="D40" s="107" t="s">
        <v>347</v>
      </c>
      <c r="E40" s="102">
        <f ca="1">E38+E39</f>
        <v>0</v>
      </c>
      <c r="F40" s="102">
        <f t="shared" ref="F40:N40" ca="1" si="117">F38+F39</f>
        <v>0</v>
      </c>
      <c r="G40" s="102">
        <f t="shared" ca="1" si="117"/>
        <v>0</v>
      </c>
      <c r="H40" s="102">
        <f t="shared" ca="1" si="117"/>
        <v>0</v>
      </c>
      <c r="I40" s="102">
        <f t="shared" ca="1" si="117"/>
        <v>0</v>
      </c>
      <c r="J40" s="102">
        <f t="shared" ca="1" si="117"/>
        <v>0</v>
      </c>
      <c r="K40" s="102">
        <f t="shared" ca="1" si="117"/>
        <v>0</v>
      </c>
      <c r="L40" s="102">
        <f t="shared" ca="1" si="117"/>
        <v>0</v>
      </c>
      <c r="M40" s="102">
        <f t="shared" ca="1" si="117"/>
        <v>0</v>
      </c>
      <c r="N40" s="102">
        <f t="shared" ca="1" si="117"/>
        <v>0</v>
      </c>
      <c r="O40" s="102">
        <f t="shared" ref="O40:S40" ca="1" si="118">O38+O39</f>
        <v>0</v>
      </c>
      <c r="P40" s="102">
        <f t="shared" ca="1" si="118"/>
        <v>0</v>
      </c>
      <c r="Q40" s="102">
        <f t="shared" ca="1" si="118"/>
        <v>0</v>
      </c>
      <c r="R40" s="102">
        <f t="shared" ca="1" si="118"/>
        <v>0</v>
      </c>
      <c r="S40" s="102">
        <f t="shared" ca="1" si="118"/>
        <v>0</v>
      </c>
      <c r="T40" s="102">
        <f t="shared" ref="T40:AC40" ca="1" si="119">T38+T39</f>
        <v>0</v>
      </c>
      <c r="U40" s="102">
        <f t="shared" ca="1" si="119"/>
        <v>0</v>
      </c>
      <c r="V40" s="102">
        <f t="shared" ca="1" si="119"/>
        <v>0</v>
      </c>
      <c r="W40" s="102">
        <f t="shared" ca="1" si="119"/>
        <v>0</v>
      </c>
      <c r="X40" s="102">
        <f t="shared" ca="1" si="119"/>
        <v>0</v>
      </c>
      <c r="Y40" s="102">
        <f t="shared" ca="1" si="119"/>
        <v>0</v>
      </c>
      <c r="Z40" s="102">
        <f t="shared" ca="1" si="119"/>
        <v>0</v>
      </c>
      <c r="AA40" s="102">
        <f t="shared" ca="1" si="119"/>
        <v>0</v>
      </c>
      <c r="AB40" s="102">
        <f t="shared" ca="1" si="119"/>
        <v>0</v>
      </c>
      <c r="AC40" s="102">
        <f t="shared" ca="1" si="119"/>
        <v>0</v>
      </c>
    </row>
    <row r="41" spans="2:29" x14ac:dyDescent="0.25">
      <c r="B41" s="107" t="s">
        <v>320</v>
      </c>
      <c r="C41" s="101" t="s">
        <v>243</v>
      </c>
      <c r="D41" s="107" t="s">
        <v>348</v>
      </c>
      <c r="E41" s="102">
        <f t="shared" ref="E41:N41" ca="1" si="120">IF(E5="Normal",MIN(E40,E32),0)</f>
        <v>0</v>
      </c>
      <c r="F41" s="102">
        <f t="shared" ca="1" si="120"/>
        <v>0</v>
      </c>
      <c r="G41" s="102">
        <f t="shared" ca="1" si="120"/>
        <v>0</v>
      </c>
      <c r="H41" s="102">
        <f t="shared" ca="1" si="120"/>
        <v>0</v>
      </c>
      <c r="I41" s="102">
        <f t="shared" ca="1" si="120"/>
        <v>0</v>
      </c>
      <c r="J41" s="102">
        <f t="shared" ca="1" si="120"/>
        <v>0</v>
      </c>
      <c r="K41" s="102">
        <f t="shared" ca="1" si="120"/>
        <v>0</v>
      </c>
      <c r="L41" s="102">
        <f t="shared" ca="1" si="120"/>
        <v>0</v>
      </c>
      <c r="M41" s="102">
        <f t="shared" ca="1" si="120"/>
        <v>0</v>
      </c>
      <c r="N41" s="102">
        <f t="shared" ca="1" si="120"/>
        <v>0</v>
      </c>
      <c r="O41" s="102">
        <f t="shared" ref="O41:S41" ca="1" si="121">IF(O5="Normal",MIN(O40,O32),0)</f>
        <v>0</v>
      </c>
      <c r="P41" s="102">
        <f t="shared" ca="1" si="121"/>
        <v>0</v>
      </c>
      <c r="Q41" s="102">
        <f t="shared" ca="1" si="121"/>
        <v>0</v>
      </c>
      <c r="R41" s="102">
        <f t="shared" ca="1" si="121"/>
        <v>0</v>
      </c>
      <c r="S41" s="102">
        <f t="shared" ca="1" si="121"/>
        <v>0</v>
      </c>
      <c r="T41" s="102">
        <f t="shared" ref="T41:AC41" ca="1" si="122">IF(T5="Normal",MIN(T40,T32),0)</f>
        <v>0</v>
      </c>
      <c r="U41" s="102">
        <f t="shared" ca="1" si="122"/>
        <v>0</v>
      </c>
      <c r="V41" s="102">
        <f t="shared" ca="1" si="122"/>
        <v>0</v>
      </c>
      <c r="W41" s="102">
        <f t="shared" ca="1" si="122"/>
        <v>0</v>
      </c>
      <c r="X41" s="102">
        <f t="shared" ca="1" si="122"/>
        <v>0</v>
      </c>
      <c r="Y41" s="102">
        <f t="shared" ca="1" si="122"/>
        <v>0</v>
      </c>
      <c r="Z41" s="102">
        <f t="shared" ca="1" si="122"/>
        <v>0</v>
      </c>
      <c r="AA41" s="102">
        <f t="shared" ca="1" si="122"/>
        <v>0</v>
      </c>
      <c r="AB41" s="102">
        <f t="shared" ca="1" si="122"/>
        <v>0</v>
      </c>
      <c r="AC41" s="102">
        <f t="shared" ca="1" si="122"/>
        <v>0</v>
      </c>
    </row>
    <row r="42" spans="2:29" x14ac:dyDescent="0.25">
      <c r="B42" s="107" t="s">
        <v>321</v>
      </c>
      <c r="C42" s="101" t="s">
        <v>275</v>
      </c>
      <c r="D42" s="107" t="s">
        <v>349</v>
      </c>
      <c r="E42" s="102">
        <f ca="1">E40-E41</f>
        <v>0</v>
      </c>
      <c r="F42" s="102">
        <f t="shared" ref="F42:N42" ca="1" si="123">F40-F41</f>
        <v>0</v>
      </c>
      <c r="G42" s="102">
        <f t="shared" ca="1" si="123"/>
        <v>0</v>
      </c>
      <c r="H42" s="102">
        <f t="shared" ca="1" si="123"/>
        <v>0</v>
      </c>
      <c r="I42" s="102">
        <f t="shared" ca="1" si="123"/>
        <v>0</v>
      </c>
      <c r="J42" s="102">
        <f t="shared" ca="1" si="123"/>
        <v>0</v>
      </c>
      <c r="K42" s="102">
        <f t="shared" ca="1" si="123"/>
        <v>0</v>
      </c>
      <c r="L42" s="102">
        <f t="shared" ca="1" si="123"/>
        <v>0</v>
      </c>
      <c r="M42" s="102">
        <f t="shared" ca="1" si="123"/>
        <v>0</v>
      </c>
      <c r="N42" s="102">
        <f t="shared" ca="1" si="123"/>
        <v>0</v>
      </c>
      <c r="O42" s="102">
        <f t="shared" ref="O42:S42" ca="1" si="124">O40-O41</f>
        <v>0</v>
      </c>
      <c r="P42" s="102">
        <f t="shared" ca="1" si="124"/>
        <v>0</v>
      </c>
      <c r="Q42" s="102">
        <f t="shared" ca="1" si="124"/>
        <v>0</v>
      </c>
      <c r="R42" s="102">
        <f t="shared" ca="1" si="124"/>
        <v>0</v>
      </c>
      <c r="S42" s="102">
        <f t="shared" ca="1" si="124"/>
        <v>0</v>
      </c>
      <c r="T42" s="102">
        <f t="shared" ref="T42:AC42" ca="1" si="125">T40-T41</f>
        <v>0</v>
      </c>
      <c r="U42" s="102">
        <f t="shared" ca="1" si="125"/>
        <v>0</v>
      </c>
      <c r="V42" s="102">
        <f t="shared" ca="1" si="125"/>
        <v>0</v>
      </c>
      <c r="W42" s="102">
        <f t="shared" ca="1" si="125"/>
        <v>0</v>
      </c>
      <c r="X42" s="102">
        <f t="shared" ca="1" si="125"/>
        <v>0</v>
      </c>
      <c r="Y42" s="102">
        <f t="shared" ca="1" si="125"/>
        <v>0</v>
      </c>
      <c r="Z42" s="102">
        <f t="shared" ca="1" si="125"/>
        <v>0</v>
      </c>
      <c r="AA42" s="102">
        <f t="shared" ca="1" si="125"/>
        <v>0</v>
      </c>
      <c r="AB42" s="102">
        <f t="shared" ca="1" si="125"/>
        <v>0</v>
      </c>
      <c r="AC42" s="102">
        <f t="shared" ca="1" si="125"/>
        <v>0</v>
      </c>
    </row>
    <row r="43" spans="2:29" x14ac:dyDescent="0.25">
      <c r="B43" s="107" t="s">
        <v>322</v>
      </c>
      <c r="C43" s="100" t="s">
        <v>283</v>
      </c>
      <c r="D43" s="108" t="s">
        <v>350</v>
      </c>
      <c r="E43" s="102">
        <f t="shared" ref="E43:N43" ca="1" si="126">E41*E9/E25</f>
        <v>0</v>
      </c>
      <c r="F43" s="102">
        <f t="shared" ca="1" si="126"/>
        <v>0</v>
      </c>
      <c r="G43" s="102">
        <f t="shared" ca="1" si="126"/>
        <v>0</v>
      </c>
      <c r="H43" s="102">
        <f t="shared" ca="1" si="126"/>
        <v>0</v>
      </c>
      <c r="I43" s="102">
        <f t="shared" ca="1" si="126"/>
        <v>0</v>
      </c>
      <c r="J43" s="102">
        <f t="shared" ca="1" si="126"/>
        <v>0</v>
      </c>
      <c r="K43" s="102">
        <f t="shared" ca="1" si="126"/>
        <v>0</v>
      </c>
      <c r="L43" s="102">
        <f t="shared" ca="1" si="126"/>
        <v>0</v>
      </c>
      <c r="M43" s="102">
        <f t="shared" ca="1" si="126"/>
        <v>0</v>
      </c>
      <c r="N43" s="102">
        <f t="shared" ca="1" si="126"/>
        <v>0</v>
      </c>
      <c r="O43" s="102">
        <f t="shared" ref="O43:S43" ca="1" si="127">O41*O9/O25</f>
        <v>0</v>
      </c>
      <c r="P43" s="102">
        <f t="shared" ca="1" si="127"/>
        <v>0</v>
      </c>
      <c r="Q43" s="102">
        <f t="shared" ca="1" si="127"/>
        <v>0</v>
      </c>
      <c r="R43" s="102">
        <f t="shared" ca="1" si="127"/>
        <v>0</v>
      </c>
      <c r="S43" s="102">
        <f t="shared" ca="1" si="127"/>
        <v>0</v>
      </c>
      <c r="T43" s="102">
        <f t="shared" ref="T43:AC43" ca="1" si="128">T41*T9/T25</f>
        <v>0</v>
      </c>
      <c r="U43" s="102">
        <f t="shared" ca="1" si="128"/>
        <v>0</v>
      </c>
      <c r="V43" s="102">
        <f t="shared" ca="1" si="128"/>
        <v>0</v>
      </c>
      <c r="W43" s="102">
        <f t="shared" ca="1" si="128"/>
        <v>0</v>
      </c>
      <c r="X43" s="102">
        <f t="shared" ca="1" si="128"/>
        <v>0</v>
      </c>
      <c r="Y43" s="102">
        <f t="shared" ca="1" si="128"/>
        <v>0</v>
      </c>
      <c r="Z43" s="102">
        <f t="shared" ca="1" si="128"/>
        <v>0</v>
      </c>
      <c r="AA43" s="102">
        <f t="shared" ca="1" si="128"/>
        <v>0</v>
      </c>
      <c r="AB43" s="102">
        <f t="shared" ca="1" si="128"/>
        <v>0</v>
      </c>
      <c r="AC43" s="102">
        <f t="shared" ca="1" si="128"/>
        <v>0</v>
      </c>
    </row>
    <row r="44" spans="2:29" x14ac:dyDescent="0.25">
      <c r="B44" s="107" t="s">
        <v>323</v>
      </c>
      <c r="C44" s="100" t="s">
        <v>284</v>
      </c>
      <c r="D44" s="108" t="s">
        <v>351</v>
      </c>
      <c r="E44" s="102">
        <f ca="1">E41*E20/E25</f>
        <v>0</v>
      </c>
      <c r="F44" s="102">
        <f t="shared" ref="F44:N44" ca="1" si="129">F41*F20/F25</f>
        <v>0</v>
      </c>
      <c r="G44" s="102">
        <f t="shared" ca="1" si="129"/>
        <v>0</v>
      </c>
      <c r="H44" s="102">
        <f t="shared" ca="1" si="129"/>
        <v>0</v>
      </c>
      <c r="I44" s="102">
        <f t="shared" ca="1" si="129"/>
        <v>0</v>
      </c>
      <c r="J44" s="102">
        <f t="shared" ca="1" si="129"/>
        <v>0</v>
      </c>
      <c r="K44" s="102">
        <f t="shared" ca="1" si="129"/>
        <v>0</v>
      </c>
      <c r="L44" s="102">
        <f t="shared" ca="1" si="129"/>
        <v>0</v>
      </c>
      <c r="M44" s="102">
        <f t="shared" ca="1" si="129"/>
        <v>0</v>
      </c>
      <c r="N44" s="102">
        <f t="shared" ca="1" si="129"/>
        <v>0</v>
      </c>
      <c r="O44" s="102">
        <f t="shared" ref="O44:S44" ca="1" si="130">O41*O20/O25</f>
        <v>0</v>
      </c>
      <c r="P44" s="102">
        <f t="shared" ca="1" si="130"/>
        <v>0</v>
      </c>
      <c r="Q44" s="102">
        <f t="shared" ca="1" si="130"/>
        <v>0</v>
      </c>
      <c r="R44" s="102">
        <f t="shared" ca="1" si="130"/>
        <v>0</v>
      </c>
      <c r="S44" s="102">
        <f t="shared" ca="1" si="130"/>
        <v>0</v>
      </c>
      <c r="T44" s="102">
        <f t="shared" ref="T44:AC44" ca="1" si="131">T41*T20/T25</f>
        <v>0</v>
      </c>
      <c r="U44" s="102">
        <f t="shared" ca="1" si="131"/>
        <v>0</v>
      </c>
      <c r="V44" s="102">
        <f t="shared" ca="1" si="131"/>
        <v>0</v>
      </c>
      <c r="W44" s="102">
        <f t="shared" ca="1" si="131"/>
        <v>0</v>
      </c>
      <c r="X44" s="102">
        <f t="shared" ca="1" si="131"/>
        <v>0</v>
      </c>
      <c r="Y44" s="102">
        <f t="shared" ca="1" si="131"/>
        <v>0</v>
      </c>
      <c r="Z44" s="102">
        <f t="shared" ca="1" si="131"/>
        <v>0</v>
      </c>
      <c r="AA44" s="102">
        <f t="shared" ca="1" si="131"/>
        <v>0</v>
      </c>
      <c r="AB44" s="102">
        <f t="shared" ca="1" si="131"/>
        <v>0</v>
      </c>
      <c r="AC44" s="102">
        <f t="shared" ca="1" si="131"/>
        <v>0</v>
      </c>
    </row>
    <row r="45" spans="2:29" hidden="1" x14ac:dyDescent="0.25">
      <c r="E45" s="50"/>
      <c r="F45" s="50"/>
      <c r="G45" s="50"/>
      <c r="H45" s="50"/>
      <c r="I45" s="50"/>
      <c r="J45" s="50"/>
      <c r="K45" s="103"/>
      <c r="L45" s="50"/>
      <c r="M45" s="50"/>
      <c r="N45" s="50"/>
      <c r="O45" s="50"/>
      <c r="P45" s="50"/>
      <c r="Q45" s="50"/>
      <c r="R45" s="50"/>
      <c r="S45" s="50"/>
      <c r="T45" s="50"/>
      <c r="U45" s="50"/>
      <c r="V45" s="50"/>
      <c r="W45" s="50"/>
      <c r="X45" s="50"/>
      <c r="Y45" s="50"/>
      <c r="Z45" s="50"/>
      <c r="AA45" s="50"/>
      <c r="AB45" s="50"/>
      <c r="AC45" s="50"/>
    </row>
    <row r="46" spans="2:29" hidden="1" x14ac:dyDescent="0.25">
      <c r="E46" s="1"/>
      <c r="F46" s="1"/>
      <c r="G46" s="1"/>
      <c r="H46" s="1"/>
      <c r="I46" s="1"/>
      <c r="J46" s="1"/>
      <c r="K46" s="1"/>
      <c r="L46" s="1"/>
      <c r="M46" s="1"/>
      <c r="N46" s="1"/>
      <c r="O46" s="1"/>
      <c r="P46" s="1"/>
      <c r="Q46" s="1"/>
      <c r="R46" s="1"/>
      <c r="S46" s="1"/>
      <c r="T46" s="1"/>
      <c r="U46" s="1"/>
      <c r="V46" s="1"/>
      <c r="W46" s="1"/>
      <c r="X46" s="1"/>
      <c r="Y46" s="1"/>
      <c r="Z46" s="1"/>
      <c r="AA46" s="1"/>
      <c r="AB46" s="1"/>
      <c r="AC46" s="1"/>
    </row>
    <row r="47" spans="2:29" x14ac:dyDescent="0.25">
      <c r="C47" s="6" t="s">
        <v>279</v>
      </c>
      <c r="E47" s="9"/>
      <c r="F47" s="9"/>
      <c r="G47" s="9"/>
      <c r="H47" s="9"/>
      <c r="I47" s="9"/>
      <c r="J47" s="9"/>
      <c r="K47" s="9"/>
      <c r="L47" s="9"/>
      <c r="M47" s="9"/>
      <c r="N47" s="9"/>
      <c r="O47" s="9"/>
      <c r="P47" s="9"/>
      <c r="Q47" s="9"/>
      <c r="R47" s="9"/>
      <c r="S47" s="9"/>
      <c r="T47" s="9"/>
      <c r="U47" s="9"/>
      <c r="V47" s="9"/>
      <c r="W47" s="9"/>
      <c r="X47" s="9"/>
      <c r="Y47" s="9"/>
      <c r="Z47" s="9"/>
      <c r="AA47" s="9"/>
      <c r="AB47" s="9"/>
      <c r="AC47" s="9"/>
    </row>
    <row r="48" spans="2:29" x14ac:dyDescent="0.25">
      <c r="C48" t="s">
        <v>388</v>
      </c>
      <c r="D48" s="9" t="s">
        <v>352</v>
      </c>
      <c r="E48" s="50">
        <f t="shared" ref="E48:N48" ca="1" si="132">E35</f>
        <v>0</v>
      </c>
      <c r="F48" s="50">
        <f t="shared" ca="1" si="132"/>
        <v>0</v>
      </c>
      <c r="G48" s="50">
        <f t="shared" ca="1" si="132"/>
        <v>0</v>
      </c>
      <c r="H48" s="50">
        <f t="shared" ca="1" si="132"/>
        <v>0</v>
      </c>
      <c r="I48" s="50">
        <f t="shared" ca="1" si="132"/>
        <v>0</v>
      </c>
      <c r="J48" s="50">
        <f t="shared" ca="1" si="132"/>
        <v>0</v>
      </c>
      <c r="K48" s="50">
        <f t="shared" ca="1" si="132"/>
        <v>0</v>
      </c>
      <c r="L48" s="50">
        <f t="shared" ca="1" si="132"/>
        <v>0</v>
      </c>
      <c r="M48" s="50">
        <f t="shared" ca="1" si="132"/>
        <v>0.28620689655172449</v>
      </c>
      <c r="N48" s="50">
        <f t="shared" ca="1" si="132"/>
        <v>0.3</v>
      </c>
      <c r="O48" s="50">
        <f t="shared" ref="O48:S48" ca="1" si="133">O35</f>
        <v>0.3</v>
      </c>
      <c r="P48" s="50">
        <f t="shared" ca="1" si="133"/>
        <v>0.3</v>
      </c>
      <c r="Q48" s="50">
        <f t="shared" ca="1" si="133"/>
        <v>0.3</v>
      </c>
      <c r="R48" s="50">
        <f t="shared" ca="1" si="133"/>
        <v>0.3</v>
      </c>
      <c r="S48" s="50">
        <f t="shared" ca="1" si="133"/>
        <v>0.3</v>
      </c>
      <c r="T48" s="50">
        <f t="shared" ref="T48:AC48" ca="1" si="134">T35</f>
        <v>0.3</v>
      </c>
      <c r="U48" s="50">
        <f t="shared" ca="1" si="134"/>
        <v>0.3</v>
      </c>
      <c r="V48" s="50">
        <f t="shared" ca="1" si="134"/>
        <v>0.3</v>
      </c>
      <c r="W48" s="50">
        <f t="shared" ca="1" si="134"/>
        <v>0.3</v>
      </c>
      <c r="X48" s="50">
        <f t="shared" ca="1" si="134"/>
        <v>0.3</v>
      </c>
      <c r="Y48" s="50">
        <f t="shared" ca="1" si="134"/>
        <v>0.3</v>
      </c>
      <c r="Z48" s="50">
        <f t="shared" ca="1" si="134"/>
        <v>0.3</v>
      </c>
      <c r="AA48" s="50">
        <f t="shared" ca="1" si="134"/>
        <v>0.3</v>
      </c>
      <c r="AB48" s="50">
        <f t="shared" ca="1" si="134"/>
        <v>0.3</v>
      </c>
      <c r="AC48" s="50">
        <f t="shared" ca="1" si="134"/>
        <v>0.3</v>
      </c>
    </row>
    <row r="49" spans="3:29" x14ac:dyDescent="0.25">
      <c r="C49" t="s">
        <v>281</v>
      </c>
      <c r="D49" s="9" t="s">
        <v>353</v>
      </c>
      <c r="E49" s="50">
        <f t="shared" ref="E49:N49" ca="1" si="135">E22</f>
        <v>0</v>
      </c>
      <c r="F49" s="50">
        <f t="shared" ca="1" si="135"/>
        <v>0</v>
      </c>
      <c r="G49" s="50">
        <f t="shared" ca="1" si="135"/>
        <v>0</v>
      </c>
      <c r="H49" s="50">
        <f t="shared" ca="1" si="135"/>
        <v>0</v>
      </c>
      <c r="I49" s="50">
        <f t="shared" ca="1" si="135"/>
        <v>0</v>
      </c>
      <c r="J49" s="50">
        <f t="shared" ca="1" si="135"/>
        <v>0</v>
      </c>
      <c r="K49" s="50">
        <f t="shared" ca="1" si="135"/>
        <v>0</v>
      </c>
      <c r="L49" s="50">
        <f t="shared" ca="1" si="135"/>
        <v>0</v>
      </c>
      <c r="M49" s="50">
        <f t="shared" ca="1" si="135"/>
        <v>0</v>
      </c>
      <c r="N49" s="50">
        <f t="shared" ca="1" si="135"/>
        <v>0</v>
      </c>
      <c r="O49" s="50">
        <f t="shared" ref="O49:S49" ca="1" si="136">O22</f>
        <v>0</v>
      </c>
      <c r="P49" s="50">
        <f t="shared" ca="1" si="136"/>
        <v>0</v>
      </c>
      <c r="Q49" s="50">
        <f t="shared" ca="1" si="136"/>
        <v>0.15</v>
      </c>
      <c r="R49" s="50">
        <f t="shared" ca="1" si="136"/>
        <v>0.3</v>
      </c>
      <c r="S49" s="50">
        <f t="shared" ca="1" si="136"/>
        <v>0.3</v>
      </c>
      <c r="T49" s="50">
        <f t="shared" ref="T49:AC49" ca="1" si="137">T22</f>
        <v>0.3</v>
      </c>
      <c r="U49" s="50">
        <f t="shared" ca="1" si="137"/>
        <v>0.3</v>
      </c>
      <c r="V49" s="50">
        <f t="shared" ca="1" si="137"/>
        <v>0.3</v>
      </c>
      <c r="W49" s="50">
        <f t="shared" ca="1" si="137"/>
        <v>0.3</v>
      </c>
      <c r="X49" s="50">
        <f t="shared" ca="1" si="137"/>
        <v>0.3</v>
      </c>
      <c r="Y49" s="50">
        <f t="shared" ca="1" si="137"/>
        <v>0.3</v>
      </c>
      <c r="Z49" s="50">
        <f t="shared" ca="1" si="137"/>
        <v>0.3</v>
      </c>
      <c r="AA49" s="50">
        <f t="shared" ca="1" si="137"/>
        <v>0.3</v>
      </c>
      <c r="AB49" s="50">
        <f t="shared" ca="1" si="137"/>
        <v>0.3</v>
      </c>
      <c r="AC49" s="50">
        <f t="shared" ca="1" si="137"/>
        <v>0.3</v>
      </c>
    </row>
    <row r="50" spans="3:29" x14ac:dyDescent="0.25">
      <c r="C50" t="s">
        <v>280</v>
      </c>
      <c r="D50" s="9" t="s">
        <v>354</v>
      </c>
      <c r="E50" s="50">
        <f t="shared" ref="E50:N50" ca="1" si="138">E11</f>
        <v>0.3</v>
      </c>
      <c r="F50" s="50">
        <f t="shared" ca="1" si="138"/>
        <v>0.3</v>
      </c>
      <c r="G50" s="50">
        <f t="shared" ca="1" si="138"/>
        <v>0.3</v>
      </c>
      <c r="H50" s="50">
        <f t="shared" ca="1" si="138"/>
        <v>0.3</v>
      </c>
      <c r="I50" s="50">
        <f t="shared" ca="1" si="138"/>
        <v>0.3</v>
      </c>
      <c r="J50" s="50">
        <f t="shared" ca="1" si="138"/>
        <v>0.3</v>
      </c>
      <c r="K50" s="50">
        <f t="shared" ca="1" si="138"/>
        <v>0.3</v>
      </c>
      <c r="L50" s="50">
        <f t="shared" ca="1" si="138"/>
        <v>0.3</v>
      </c>
      <c r="M50" s="50">
        <f t="shared" ca="1" si="138"/>
        <v>0.3</v>
      </c>
      <c r="N50" s="50">
        <f t="shared" ca="1" si="138"/>
        <v>0.3</v>
      </c>
      <c r="O50" s="50">
        <f t="shared" ref="O50:S50" ca="1" si="139">O11</f>
        <v>0.3</v>
      </c>
      <c r="P50" s="50">
        <f t="shared" ca="1" si="139"/>
        <v>0.3</v>
      </c>
      <c r="Q50" s="50">
        <f t="shared" ca="1" si="139"/>
        <v>0.3</v>
      </c>
      <c r="R50" s="50">
        <f t="shared" ca="1" si="139"/>
        <v>0.3</v>
      </c>
      <c r="S50" s="50">
        <f t="shared" ca="1" si="139"/>
        <v>0.3</v>
      </c>
      <c r="T50" s="50">
        <f t="shared" ref="T50:AC50" ca="1" si="140">T11</f>
        <v>0.3</v>
      </c>
      <c r="U50" s="50">
        <f t="shared" ca="1" si="140"/>
        <v>0.3</v>
      </c>
      <c r="V50" s="50">
        <f t="shared" ca="1" si="140"/>
        <v>0.3</v>
      </c>
      <c r="W50" s="50">
        <f t="shared" ca="1" si="140"/>
        <v>0.3</v>
      </c>
      <c r="X50" s="50">
        <f t="shared" ca="1" si="140"/>
        <v>0.3</v>
      </c>
      <c r="Y50" s="50">
        <f t="shared" ca="1" si="140"/>
        <v>0.3</v>
      </c>
      <c r="Z50" s="50">
        <f t="shared" ca="1" si="140"/>
        <v>0.3</v>
      </c>
      <c r="AA50" s="50">
        <f t="shared" ca="1" si="140"/>
        <v>0.3</v>
      </c>
      <c r="AB50" s="50">
        <f t="shared" ca="1" si="140"/>
        <v>0.3</v>
      </c>
      <c r="AC50" s="50">
        <f t="shared" ca="1" si="140"/>
        <v>0.3</v>
      </c>
    </row>
    <row r="51" spans="3:29" x14ac:dyDescent="0.25">
      <c r="E51" s="71"/>
      <c r="F51" s="71"/>
      <c r="G51" s="71"/>
      <c r="H51" s="71"/>
      <c r="I51" s="71"/>
      <c r="J51" s="71"/>
      <c r="K51" s="71"/>
      <c r="L51" s="71"/>
      <c r="M51" s="71"/>
      <c r="N51" s="7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1"/>
  <sheetViews>
    <sheetView showGridLines="0" tabSelected="1" zoomScaleNormal="100" workbookViewId="0">
      <selection activeCell="K3" sqref="K3"/>
    </sheetView>
  </sheetViews>
  <sheetFormatPr defaultRowHeight="15" x14ac:dyDescent="0.25"/>
  <cols>
    <col min="1" max="1" width="9.140625" style="104"/>
    <col min="2" max="2" width="10.28515625" style="104" customWidth="1"/>
    <col min="3" max="3" width="16.28515625" style="104" bestFit="1" customWidth="1"/>
    <col min="4" max="4" width="16.28515625" style="106" customWidth="1"/>
    <col min="5" max="5" width="6.42578125" style="104" bestFit="1" customWidth="1"/>
    <col min="6" max="6" width="6.5703125" style="104" bestFit="1" customWidth="1"/>
    <col min="7" max="7" width="7.7109375" style="104" bestFit="1" customWidth="1"/>
    <col min="8" max="8" width="12" style="104" customWidth="1"/>
    <col min="9" max="9" width="3.85546875" style="104" customWidth="1"/>
    <col min="10" max="10" width="4.140625" style="104" customWidth="1"/>
    <col min="11" max="11" width="10.85546875" style="104" customWidth="1"/>
    <col min="12" max="12" width="16.28515625" style="104" bestFit="1" customWidth="1"/>
    <col min="13" max="13" width="6.42578125" style="104" hidden="1" customWidth="1"/>
    <col min="14" max="14" width="7.140625" style="104" hidden="1" customWidth="1"/>
    <col min="15" max="15" width="11.140625" style="6" bestFit="1" customWidth="1"/>
    <col min="16" max="16" width="10.85546875" style="104" customWidth="1"/>
    <col min="17" max="17" width="9.7109375" style="104" customWidth="1"/>
    <col min="18" max="18" width="10.42578125" style="104" customWidth="1"/>
    <col min="19" max="19" width="9.140625" style="104"/>
    <col min="20" max="20" width="11" style="104" customWidth="1"/>
    <col min="21" max="16384" width="9.140625" style="104"/>
  </cols>
  <sheetData>
    <row r="2" spans="2:23" x14ac:dyDescent="0.25">
      <c r="D2" s="122" t="s">
        <v>523</v>
      </c>
      <c r="E2" s="182">
        <v>0.3</v>
      </c>
      <c r="M2" s="127"/>
    </row>
    <row r="3" spans="2:23" s="176" customFormat="1" ht="36.75" thickBot="1" x14ac:dyDescent="0.25">
      <c r="B3" s="177" t="s">
        <v>484</v>
      </c>
      <c r="C3" s="177"/>
      <c r="D3" s="178"/>
      <c r="E3" s="179"/>
      <c r="F3" s="179"/>
      <c r="G3" s="179"/>
      <c r="H3" s="180" t="s">
        <v>486</v>
      </c>
      <c r="I3" s="177"/>
      <c r="J3" s="177"/>
      <c r="K3" s="177" t="s">
        <v>250</v>
      </c>
      <c r="L3" s="177"/>
      <c r="M3" s="177"/>
      <c r="N3" s="179"/>
      <c r="O3" s="181"/>
      <c r="P3" s="180" t="s">
        <v>486</v>
      </c>
      <c r="Q3" s="180" t="s">
        <v>487</v>
      </c>
      <c r="R3" s="180" t="s">
        <v>489</v>
      </c>
      <c r="S3" s="180" t="s">
        <v>490</v>
      </c>
      <c r="T3" s="177"/>
    </row>
    <row r="4" spans="2:23" ht="30" x14ac:dyDescent="0.25">
      <c r="B4" s="158" t="s">
        <v>485</v>
      </c>
      <c r="C4" s="159" t="s">
        <v>9</v>
      </c>
      <c r="D4" s="159" t="s">
        <v>509</v>
      </c>
      <c r="E4" s="160" t="s">
        <v>491</v>
      </c>
      <c r="F4" s="160"/>
      <c r="G4" s="160"/>
      <c r="H4" s="175" t="s">
        <v>494</v>
      </c>
      <c r="K4" s="158" t="s">
        <v>485</v>
      </c>
      <c r="L4" s="164" t="s">
        <v>505</v>
      </c>
      <c r="M4" s="165" t="s">
        <v>491</v>
      </c>
      <c r="N4" s="166"/>
      <c r="O4" s="167"/>
      <c r="P4" s="168" t="s">
        <v>492</v>
      </c>
      <c r="Q4" s="169"/>
      <c r="R4" s="168" t="s">
        <v>493</v>
      </c>
      <c r="S4" s="170"/>
      <c r="T4" s="169"/>
    </row>
    <row r="5" spans="2:23" ht="30" x14ac:dyDescent="0.25">
      <c r="B5" s="161" t="s">
        <v>506</v>
      </c>
      <c r="C5" s="159"/>
      <c r="D5" s="159"/>
      <c r="E5" s="162" t="s">
        <v>500</v>
      </c>
      <c r="F5" s="162" t="s">
        <v>501</v>
      </c>
      <c r="G5" s="162" t="s">
        <v>481</v>
      </c>
      <c r="H5" s="163" t="s">
        <v>480</v>
      </c>
      <c r="K5" s="161" t="s">
        <v>506</v>
      </c>
      <c r="L5" s="164"/>
      <c r="M5" s="171" t="s">
        <v>480</v>
      </c>
      <c r="N5" s="162" t="s">
        <v>459</v>
      </c>
      <c r="O5" s="172" t="s">
        <v>502</v>
      </c>
      <c r="P5" s="173" t="s">
        <v>480</v>
      </c>
      <c r="Q5" s="174" t="s">
        <v>459</v>
      </c>
      <c r="R5" s="173" t="s">
        <v>480</v>
      </c>
      <c r="S5" s="175" t="s">
        <v>459</v>
      </c>
      <c r="T5" s="174" t="s">
        <v>502</v>
      </c>
    </row>
    <row r="6" spans="2:23" x14ac:dyDescent="0.25">
      <c r="B6" s="126" t="s">
        <v>135</v>
      </c>
      <c r="C6" s="126" t="s">
        <v>186</v>
      </c>
      <c r="D6" s="126" t="s">
        <v>197</v>
      </c>
      <c r="E6" s="126" t="s">
        <v>190</v>
      </c>
      <c r="F6" s="126" t="s">
        <v>198</v>
      </c>
      <c r="G6" s="126" t="s">
        <v>510</v>
      </c>
      <c r="H6" s="156" t="s">
        <v>508</v>
      </c>
      <c r="K6" s="126" t="s">
        <v>135</v>
      </c>
      <c r="L6" s="132" t="s">
        <v>186</v>
      </c>
      <c r="M6" s="133"/>
      <c r="N6" s="126"/>
      <c r="O6" s="134" t="s">
        <v>193</v>
      </c>
      <c r="P6" s="148" t="s">
        <v>197</v>
      </c>
      <c r="Q6" s="149" t="s">
        <v>190</v>
      </c>
      <c r="R6" s="148" t="s">
        <v>198</v>
      </c>
      <c r="S6" s="128" t="s">
        <v>507</v>
      </c>
      <c r="T6" s="149" t="s">
        <v>508</v>
      </c>
    </row>
    <row r="7" spans="2:23" x14ac:dyDescent="0.25">
      <c r="B7" s="122" t="s">
        <v>482</v>
      </c>
      <c r="C7" s="122" t="s">
        <v>496</v>
      </c>
      <c r="D7" s="157" t="s">
        <v>44</v>
      </c>
      <c r="E7" s="34">
        <v>35</v>
      </c>
      <c r="F7" s="123">
        <f>F8-F9</f>
        <v>-50</v>
      </c>
      <c r="G7" s="123">
        <f>E7+F7</f>
        <v>-15</v>
      </c>
      <c r="H7" s="34">
        <v>35</v>
      </c>
      <c r="K7" s="122" t="s">
        <v>482</v>
      </c>
      <c r="L7" s="144" t="s">
        <v>496</v>
      </c>
      <c r="M7" s="146">
        <v>35</v>
      </c>
      <c r="N7" s="121"/>
      <c r="O7" s="136"/>
      <c r="P7" s="135">
        <v>35</v>
      </c>
      <c r="Q7" s="136"/>
      <c r="R7" s="135">
        <f>P7</f>
        <v>35</v>
      </c>
      <c r="S7" s="34"/>
      <c r="T7" s="140"/>
    </row>
    <row r="8" spans="2:23" x14ac:dyDescent="0.25">
      <c r="B8" s="122"/>
      <c r="C8" s="122" t="s">
        <v>498</v>
      </c>
      <c r="D8" s="157" t="s">
        <v>515</v>
      </c>
      <c r="E8" s="123">
        <f ca="1">E7/(1-E10)</f>
        <v>50</v>
      </c>
      <c r="F8" s="123">
        <v>-50</v>
      </c>
      <c r="G8" s="123">
        <f ca="1">E8+F8</f>
        <v>0</v>
      </c>
      <c r="H8" s="123">
        <f ca="1">H7/(1-H10)</f>
        <v>50</v>
      </c>
      <c r="K8" s="122"/>
      <c r="L8" s="144" t="s">
        <v>498</v>
      </c>
      <c r="M8" s="146">
        <f ca="1">P8</f>
        <v>35</v>
      </c>
      <c r="N8" s="121">
        <v>-50</v>
      </c>
      <c r="O8" s="136">
        <f ca="1">M8+N8</f>
        <v>-15</v>
      </c>
      <c r="P8" s="137">
        <f ca="1">P7/(1-P10)</f>
        <v>35</v>
      </c>
      <c r="Q8" s="136">
        <f t="shared" ref="Q8:Q9" ca="1" si="0">O8-P8</f>
        <v>-50</v>
      </c>
      <c r="R8" s="135">
        <f ca="1">P8</f>
        <v>35</v>
      </c>
      <c r="S8" s="34">
        <f ca="1">Q8</f>
        <v>-50</v>
      </c>
      <c r="T8" s="140">
        <f ca="1">SUM(R8:S8)</f>
        <v>-15</v>
      </c>
    </row>
    <row r="9" spans="2:23" x14ac:dyDescent="0.25">
      <c r="B9" s="122"/>
      <c r="C9" s="122" t="s">
        <v>407</v>
      </c>
      <c r="D9" s="157" t="s">
        <v>513</v>
      </c>
      <c r="E9" s="123">
        <f ca="1">IF(E8&gt;0,E8*$E$2,0)</f>
        <v>15</v>
      </c>
      <c r="F9" s="123">
        <f>IF(F8&gt;0,F8*$E$2,0)</f>
        <v>0</v>
      </c>
      <c r="G9" s="123">
        <f t="shared" ref="G9:G17" ca="1" si="1">E9+F9</f>
        <v>15</v>
      </c>
      <c r="H9" s="123">
        <f ca="1">IF(H8&gt;0,H8*$E$2,0)</f>
        <v>15</v>
      </c>
      <c r="K9" s="122"/>
      <c r="L9" s="144" t="s">
        <v>407</v>
      </c>
      <c r="M9" s="146"/>
      <c r="N9" s="121"/>
      <c r="O9" s="136">
        <f ca="1">IF(O8&gt;0,O8*$E$2,0)</f>
        <v>0</v>
      </c>
      <c r="P9" s="137">
        <f ca="1">IF(O9&gt;0,(E2*IF(P8&lt;0,0,P8)),0)</f>
        <v>0</v>
      </c>
      <c r="Q9" s="136">
        <f t="shared" ca="1" si="0"/>
        <v>0</v>
      </c>
      <c r="R9" s="137">
        <f ca="1">IF(T9&gt;0,(E2*IF(R8&lt;0,0,R8)),0)</f>
        <v>0</v>
      </c>
      <c r="S9" s="123">
        <f ca="1">T9-R9</f>
        <v>0</v>
      </c>
      <c r="T9" s="136">
        <f ca="1">IF(T8&gt;0,T8*$E$2,0)</f>
        <v>0</v>
      </c>
    </row>
    <row r="10" spans="2:23" x14ac:dyDescent="0.25">
      <c r="B10" s="122"/>
      <c r="C10" s="122" t="s">
        <v>377</v>
      </c>
      <c r="D10" s="157" t="s">
        <v>514</v>
      </c>
      <c r="E10" s="129">
        <f t="shared" ref="E10:F10" ca="1" si="2">IF(E8=0,0,E9/E8)</f>
        <v>0.3</v>
      </c>
      <c r="F10" s="129">
        <f t="shared" si="2"/>
        <v>0</v>
      </c>
      <c r="G10" s="129">
        <f ca="1">IF(G8=0,0,G9/G8)</f>
        <v>0</v>
      </c>
      <c r="H10" s="129">
        <f ca="1">IF(H8=0,0,H9/H8)</f>
        <v>0.3</v>
      </c>
      <c r="K10" s="122"/>
      <c r="L10" s="144" t="s">
        <v>377</v>
      </c>
      <c r="M10" s="146"/>
      <c r="N10" s="121"/>
      <c r="O10" s="139">
        <f t="shared" ref="O10:T10" ca="1" si="3">IF(O8=0,0,O9/O8)</f>
        <v>0</v>
      </c>
      <c r="P10" s="138">
        <f t="shared" ca="1" si="3"/>
        <v>0</v>
      </c>
      <c r="Q10" s="139">
        <f t="shared" ca="1" si="3"/>
        <v>0</v>
      </c>
      <c r="R10" s="138">
        <f t="shared" ca="1" si="3"/>
        <v>0</v>
      </c>
      <c r="S10" s="129">
        <f t="shared" ca="1" si="3"/>
        <v>0</v>
      </c>
      <c r="T10" s="139">
        <f t="shared" ca="1" si="3"/>
        <v>0</v>
      </c>
    </row>
    <row r="11" spans="2:23" x14ac:dyDescent="0.25">
      <c r="B11" s="122"/>
      <c r="C11" s="125" t="s">
        <v>503</v>
      </c>
      <c r="D11" s="112"/>
      <c r="E11" s="34">
        <f ca="1">E8-E9/$E$2</f>
        <v>0</v>
      </c>
      <c r="F11" s="34">
        <f>F8-F9/$E$2</f>
        <v>-50</v>
      </c>
      <c r="G11" s="34"/>
      <c r="H11" s="34">
        <f ca="1">H8-H9/$E$2</f>
        <v>0</v>
      </c>
      <c r="K11" s="122"/>
      <c r="L11" s="145" t="s">
        <v>503</v>
      </c>
      <c r="M11" s="146"/>
      <c r="N11" s="121"/>
      <c r="O11" s="147"/>
      <c r="P11" s="135">
        <f ca="1">IF(P8&lt;0,IF(Q8&lt;0,0,-MIN(ABS(P8),ABS(Q8))),IF(Q8&gt;0,0,MIN(ABS(P8),ABS(Q8))))</f>
        <v>35</v>
      </c>
      <c r="Q11" s="140">
        <f ca="1">-P11</f>
        <v>-35</v>
      </c>
      <c r="R11" s="150"/>
      <c r="S11" s="131"/>
      <c r="T11" s="136">
        <f>SUM(R11:S11)</f>
        <v>0</v>
      </c>
      <c r="V11" s="130"/>
      <c r="W11" s="130"/>
    </row>
    <row r="12" spans="2:23" x14ac:dyDescent="0.25">
      <c r="B12" s="122" t="s">
        <v>483</v>
      </c>
      <c r="C12" s="122" t="s">
        <v>495</v>
      </c>
      <c r="D12" s="157" t="s">
        <v>46</v>
      </c>
      <c r="E12" s="34">
        <v>35</v>
      </c>
      <c r="F12" s="123">
        <f>F13-F17</f>
        <v>50</v>
      </c>
      <c r="G12" s="123">
        <f>E12+F12</f>
        <v>85</v>
      </c>
      <c r="H12" s="34">
        <v>35</v>
      </c>
      <c r="K12" s="122" t="s">
        <v>483</v>
      </c>
      <c r="L12" s="144" t="s">
        <v>496</v>
      </c>
      <c r="M12" s="146">
        <v>35</v>
      </c>
      <c r="N12" s="121"/>
      <c r="O12" s="136"/>
      <c r="P12" s="135">
        <v>35</v>
      </c>
      <c r="Q12" s="136"/>
      <c r="R12" s="135">
        <v>35</v>
      </c>
      <c r="S12" s="123"/>
      <c r="T12" s="136"/>
    </row>
    <row r="13" spans="2:23" x14ac:dyDescent="0.25">
      <c r="B13" s="122"/>
      <c r="C13" s="122" t="s">
        <v>356</v>
      </c>
      <c r="D13" s="157" t="s">
        <v>516</v>
      </c>
      <c r="E13" s="123">
        <f ca="1">H13</f>
        <v>50</v>
      </c>
      <c r="F13" s="123">
        <v>50</v>
      </c>
      <c r="G13" s="123">
        <f ca="1">E13+F13</f>
        <v>100</v>
      </c>
      <c r="H13" s="123">
        <f ca="1">H12/(1-H18)</f>
        <v>50</v>
      </c>
      <c r="K13" s="122"/>
      <c r="L13" s="144" t="s">
        <v>356</v>
      </c>
      <c r="M13" s="146">
        <f ca="1">P13</f>
        <v>50</v>
      </c>
      <c r="N13" s="121">
        <v>50</v>
      </c>
      <c r="O13" s="136">
        <f ca="1">SUM(M13:N13)</f>
        <v>100</v>
      </c>
      <c r="P13" s="137">
        <f ca="1">P12/(1-P18)</f>
        <v>50</v>
      </c>
      <c r="Q13" s="136">
        <f ca="1">O13-P13</f>
        <v>50</v>
      </c>
      <c r="R13" s="137">
        <f ca="1">R12/(1-R18)</f>
        <v>64.999999999999986</v>
      </c>
      <c r="S13" s="123">
        <f>N13</f>
        <v>50</v>
      </c>
      <c r="T13" s="136">
        <f ca="1">SUM(R13:S13)</f>
        <v>114.99999999999999</v>
      </c>
    </row>
    <row r="14" spans="2:23" x14ac:dyDescent="0.25">
      <c r="B14" s="122"/>
      <c r="C14" s="122" t="s">
        <v>245</v>
      </c>
      <c r="D14" s="157" t="s">
        <v>517</v>
      </c>
      <c r="E14" s="123">
        <v>0</v>
      </c>
      <c r="F14" s="123">
        <f>F8</f>
        <v>-50</v>
      </c>
      <c r="G14" s="123">
        <f>E14+F14</f>
        <v>-50</v>
      </c>
      <c r="H14" s="123">
        <v>0</v>
      </c>
      <c r="K14" s="122"/>
      <c r="L14" s="144" t="s">
        <v>245</v>
      </c>
      <c r="M14" s="137"/>
      <c r="N14" s="123"/>
      <c r="O14" s="136">
        <f ca="1">O8</f>
        <v>-15</v>
      </c>
      <c r="P14" s="137">
        <v>0</v>
      </c>
      <c r="Q14" s="136">
        <f ca="1">O14-P14</f>
        <v>-15</v>
      </c>
      <c r="R14" s="137"/>
      <c r="S14" s="123">
        <f ca="1">T8</f>
        <v>-15</v>
      </c>
      <c r="T14" s="136">
        <f t="shared" ref="T14:T17" ca="1" si="4">SUM(R14:S14)</f>
        <v>-15</v>
      </c>
    </row>
    <row r="15" spans="2:23" x14ac:dyDescent="0.25">
      <c r="B15" s="122"/>
      <c r="C15" s="122" t="s">
        <v>504</v>
      </c>
      <c r="D15" s="157"/>
      <c r="E15" s="123"/>
      <c r="F15" s="123"/>
      <c r="G15" s="123"/>
      <c r="H15" s="123"/>
      <c r="K15" s="122"/>
      <c r="L15" s="144" t="s">
        <v>504</v>
      </c>
      <c r="M15" s="137"/>
      <c r="N15" s="123"/>
      <c r="O15" s="136"/>
      <c r="P15" s="137"/>
      <c r="Q15" s="136"/>
      <c r="R15" s="137">
        <f ca="1">P11</f>
        <v>35</v>
      </c>
      <c r="S15" s="123">
        <f ca="1">-R15</f>
        <v>-35</v>
      </c>
      <c r="T15" s="136">
        <f t="shared" ca="1" si="4"/>
        <v>0</v>
      </c>
    </row>
    <row r="16" spans="2:23" x14ac:dyDescent="0.25">
      <c r="B16" s="122"/>
      <c r="C16" s="122" t="s">
        <v>499</v>
      </c>
      <c r="D16" s="157" t="s">
        <v>518</v>
      </c>
      <c r="E16" s="123">
        <f ca="1">E13+E14</f>
        <v>50</v>
      </c>
      <c r="F16" s="123">
        <f>F13+F14</f>
        <v>0</v>
      </c>
      <c r="G16" s="123">
        <f ca="1">G13+G14</f>
        <v>50</v>
      </c>
      <c r="H16" s="123">
        <f ca="1">H13+H14</f>
        <v>50</v>
      </c>
      <c r="K16" s="122"/>
      <c r="L16" s="144" t="s">
        <v>499</v>
      </c>
      <c r="M16" s="137"/>
      <c r="N16" s="123"/>
      <c r="O16" s="136">
        <f ca="1">O13+O14</f>
        <v>85</v>
      </c>
      <c r="P16" s="137">
        <f ca="1">P13+P14</f>
        <v>50</v>
      </c>
      <c r="Q16" s="136">
        <f t="shared" ref="Q16:Q17" ca="1" si="5">O16-P16</f>
        <v>35</v>
      </c>
      <c r="R16" s="137">
        <f ca="1">R13+R15+R14</f>
        <v>99.999999999999986</v>
      </c>
      <c r="S16" s="123">
        <f ca="1">S13+S15+S14</f>
        <v>0</v>
      </c>
      <c r="T16" s="136">
        <f ca="1">SUM(R16:S16)</f>
        <v>99.999999999999986</v>
      </c>
    </row>
    <row r="17" spans="2:20" x14ac:dyDescent="0.25">
      <c r="B17" s="122"/>
      <c r="C17" s="122" t="s">
        <v>407</v>
      </c>
      <c r="D17" s="157" t="s">
        <v>519</v>
      </c>
      <c r="E17" s="123">
        <f ca="1">IF(E16&gt;0,E16*$E$2,0)</f>
        <v>15</v>
      </c>
      <c r="F17" s="123">
        <f>IF(F16&gt;0,F16*$E$2,0)</f>
        <v>0</v>
      </c>
      <c r="G17" s="123">
        <f t="shared" ca="1" si="1"/>
        <v>15</v>
      </c>
      <c r="H17" s="123">
        <f ca="1">IF(H16&gt;0,H16*$E$2,0)</f>
        <v>15</v>
      </c>
      <c r="K17" s="122"/>
      <c r="L17" s="144" t="s">
        <v>407</v>
      </c>
      <c r="M17" s="137"/>
      <c r="N17" s="123"/>
      <c r="O17" s="136">
        <f ca="1">IF(O16&gt;0,O16*$E$2,0)</f>
        <v>25.5</v>
      </c>
      <c r="P17" s="137">
        <f ca="1">IF(P16&gt;0,P16*$E$2,0)</f>
        <v>15</v>
      </c>
      <c r="Q17" s="136">
        <f t="shared" ca="1" si="5"/>
        <v>10.5</v>
      </c>
      <c r="R17" s="137">
        <f ca="1">IF(R16&gt;0,R16*$E$2,0)</f>
        <v>29.999999999999993</v>
      </c>
      <c r="S17" s="123">
        <f ca="1">IF(S16&gt;0,S16*$E$2,0)</f>
        <v>0</v>
      </c>
      <c r="T17" s="136">
        <f t="shared" ca="1" si="4"/>
        <v>29.999999999999993</v>
      </c>
    </row>
    <row r="18" spans="2:20" x14ac:dyDescent="0.25">
      <c r="B18" s="122"/>
      <c r="C18" s="122" t="s">
        <v>377</v>
      </c>
      <c r="D18" s="157" t="s">
        <v>520</v>
      </c>
      <c r="E18" s="129">
        <f ca="1">IF(E16=0,0,E17/E16)</f>
        <v>0.3</v>
      </c>
      <c r="F18" s="129">
        <f>IF(F16=0,0,F17/F16)</f>
        <v>0</v>
      </c>
      <c r="G18" s="129">
        <f ca="1">IF(G16=0,0,G17/G16)</f>
        <v>0.3</v>
      </c>
      <c r="H18" s="129">
        <f ca="1">IF(H16=0,0,H17/H16)</f>
        <v>0.3</v>
      </c>
      <c r="K18" s="122"/>
      <c r="L18" s="144" t="s">
        <v>377</v>
      </c>
      <c r="M18" s="138"/>
      <c r="N18" s="129"/>
      <c r="O18" s="139">
        <f ca="1">IF(O13=0,0,O17/O16)</f>
        <v>0.3</v>
      </c>
      <c r="P18" s="138">
        <f ca="1">IF(P13=0,0,P17/P13)</f>
        <v>0.3</v>
      </c>
      <c r="Q18" s="139">
        <f t="shared" ref="Q18:T18" ca="1" si="6">IF(Q13=0,0,Q17/Q13)</f>
        <v>0.21</v>
      </c>
      <c r="R18" s="138">
        <f t="shared" ca="1" si="6"/>
        <v>0.46153846153846151</v>
      </c>
      <c r="S18" s="129">
        <f t="shared" ca="1" si="6"/>
        <v>0</v>
      </c>
      <c r="T18" s="139">
        <f t="shared" ca="1" si="6"/>
        <v>0.2608695652173913</v>
      </c>
    </row>
    <row r="19" spans="2:20" x14ac:dyDescent="0.25">
      <c r="B19" s="122" t="s">
        <v>511</v>
      </c>
      <c r="C19" s="122"/>
      <c r="D19" s="157" t="s">
        <v>521</v>
      </c>
      <c r="E19" s="123">
        <f ca="1">E8+E13</f>
        <v>100</v>
      </c>
      <c r="F19" s="123">
        <f>F8+F13</f>
        <v>0</v>
      </c>
      <c r="G19" s="123">
        <f ca="1">G8+G13</f>
        <v>100</v>
      </c>
      <c r="H19" s="123">
        <f ca="1">H8+H13</f>
        <v>100</v>
      </c>
      <c r="K19" s="122" t="s">
        <v>497</v>
      </c>
      <c r="L19" s="144"/>
      <c r="M19" s="137">
        <f t="shared" ref="M19:T19" ca="1" si="7">M8+M13</f>
        <v>85</v>
      </c>
      <c r="N19" s="123">
        <f t="shared" si="7"/>
        <v>0</v>
      </c>
      <c r="O19" s="136">
        <f t="shared" ca="1" si="7"/>
        <v>85</v>
      </c>
      <c r="P19" s="137">
        <f t="shared" ca="1" si="7"/>
        <v>85</v>
      </c>
      <c r="Q19" s="136">
        <f t="shared" ca="1" si="7"/>
        <v>0</v>
      </c>
      <c r="R19" s="137">
        <f t="shared" ca="1" si="7"/>
        <v>99.999999999999986</v>
      </c>
      <c r="S19" s="123">
        <f t="shared" ca="1" si="7"/>
        <v>0</v>
      </c>
      <c r="T19" s="136">
        <f t="shared" ca="1" si="7"/>
        <v>99.999999999999986</v>
      </c>
    </row>
    <row r="20" spans="2:20" ht="15.75" thickBot="1" x14ac:dyDescent="0.3">
      <c r="B20" s="125" t="s">
        <v>512</v>
      </c>
      <c r="C20" s="122"/>
      <c r="D20" s="157" t="s">
        <v>522</v>
      </c>
      <c r="E20" s="123">
        <f ca="1">E9+E17</f>
        <v>30</v>
      </c>
      <c r="F20" s="123">
        <f>F9+F17</f>
        <v>0</v>
      </c>
      <c r="G20" s="123">
        <f ca="1">G9+G17</f>
        <v>30</v>
      </c>
      <c r="H20" s="123">
        <f ca="1">H9+H17</f>
        <v>30</v>
      </c>
      <c r="I20" s="124"/>
      <c r="K20" s="125" t="s">
        <v>488</v>
      </c>
      <c r="L20" s="144"/>
      <c r="M20" s="141">
        <f t="shared" ref="M20:S20" si="8">M9+M17</f>
        <v>0</v>
      </c>
      <c r="N20" s="142">
        <f t="shared" si="8"/>
        <v>0</v>
      </c>
      <c r="O20" s="143">
        <f t="shared" ca="1" si="8"/>
        <v>25.5</v>
      </c>
      <c r="P20" s="141">
        <f t="shared" ca="1" si="8"/>
        <v>15</v>
      </c>
      <c r="Q20" s="143">
        <f t="shared" ca="1" si="8"/>
        <v>10.5</v>
      </c>
      <c r="R20" s="141">
        <f t="shared" ca="1" si="8"/>
        <v>29.999999999999993</v>
      </c>
      <c r="S20" s="142">
        <f t="shared" ca="1" si="8"/>
        <v>0</v>
      </c>
      <c r="T20" s="143">
        <f t="shared" ref="T20" ca="1" si="9">SUM(R20:S20)</f>
        <v>29.999999999999993</v>
      </c>
    </row>
    <row r="21" spans="2:20" x14ac:dyDescent="0.25">
      <c r="C21" s="6"/>
      <c r="D21" s="10"/>
      <c r="E21" s="7"/>
      <c r="F21" s="7"/>
      <c r="G21" s="7"/>
      <c r="H21" s="6"/>
      <c r="I21" s="7"/>
    </row>
  </sheetData>
  <mergeCells count="7">
    <mergeCell ref="P4:Q4"/>
    <mergeCell ref="R4:T4"/>
    <mergeCell ref="C4:C5"/>
    <mergeCell ref="L4:L5"/>
    <mergeCell ref="D4:D5"/>
    <mergeCell ref="M4:O4"/>
    <mergeCell ref="E4:G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3"/>
  <sheetViews>
    <sheetView workbookViewId="0">
      <pane xSplit="4" ySplit="4" topLeftCell="E26" activePane="bottomRight" state="frozen"/>
      <selection pane="topRight" activeCell="D1" sqref="D1"/>
      <selection pane="bottomLeft" activeCell="A5" sqref="A5"/>
      <selection pane="bottomRight" activeCell="E41" sqref="E41"/>
    </sheetView>
  </sheetViews>
  <sheetFormatPr defaultRowHeight="15" x14ac:dyDescent="0.25"/>
  <cols>
    <col min="2" max="2" width="3.7109375" style="9" bestFit="1" customWidth="1"/>
    <col min="3" max="3" width="47" bestFit="1" customWidth="1"/>
    <col min="4" max="4" width="21" style="9" customWidth="1"/>
  </cols>
  <sheetData>
    <row r="1" spans="2:9" x14ac:dyDescent="0.25">
      <c r="B1" s="9" t="s">
        <v>135</v>
      </c>
      <c r="C1" t="s">
        <v>269</v>
      </c>
      <c r="E1" s="99">
        <v>0.3</v>
      </c>
      <c r="F1" s="99">
        <v>0.3</v>
      </c>
      <c r="G1" s="99">
        <v>0.3</v>
      </c>
      <c r="H1" s="99">
        <v>0.3</v>
      </c>
      <c r="I1" s="99">
        <v>0.3</v>
      </c>
    </row>
    <row r="2" spans="2:9" x14ac:dyDescent="0.25">
      <c r="B2" s="9" t="s">
        <v>186</v>
      </c>
      <c r="C2" t="s">
        <v>270</v>
      </c>
      <c r="D2" s="10"/>
      <c r="E2" s="99">
        <v>0.2</v>
      </c>
      <c r="F2" s="99">
        <v>0.2</v>
      </c>
      <c r="G2" s="99">
        <v>0.2</v>
      </c>
      <c r="H2" s="99">
        <v>0.2</v>
      </c>
      <c r="I2" s="99">
        <v>0.2</v>
      </c>
    </row>
    <row r="3" spans="2:9" x14ac:dyDescent="0.25">
      <c r="C3" s="6" t="s">
        <v>268</v>
      </c>
      <c r="E3" s="79" t="s">
        <v>241</v>
      </c>
      <c r="F3" s="79" t="s">
        <v>241</v>
      </c>
      <c r="G3" s="79" t="s">
        <v>453</v>
      </c>
      <c r="H3" s="79" t="s">
        <v>453</v>
      </c>
      <c r="I3" s="79" t="s">
        <v>453</v>
      </c>
    </row>
    <row r="4" spans="2:9" x14ac:dyDescent="0.25">
      <c r="C4" t="s">
        <v>234</v>
      </c>
      <c r="E4" s="9" t="str">
        <f t="shared" ref="E4:I4" ca="1" si="0">IF(E32=E31,"MAT","Normal")</f>
        <v>Normal</v>
      </c>
      <c r="F4" s="9" t="str">
        <f t="shared" ca="1" si="0"/>
        <v>Normal</v>
      </c>
      <c r="G4" s="9" t="str">
        <f t="shared" ca="1" si="0"/>
        <v>MAT</v>
      </c>
      <c r="H4" s="9" t="str">
        <f t="shared" ca="1" si="0"/>
        <v>MAT</v>
      </c>
      <c r="I4" s="9" t="str">
        <f t="shared" ca="1" si="0"/>
        <v>MAT</v>
      </c>
    </row>
    <row r="5" spans="2:9" x14ac:dyDescent="0.25">
      <c r="B5" s="9">
        <v>1</v>
      </c>
      <c r="C5" s="6" t="s">
        <v>285</v>
      </c>
      <c r="E5" s="9"/>
      <c r="F5" s="9"/>
      <c r="G5" s="9"/>
      <c r="H5" s="9"/>
      <c r="I5" s="9"/>
    </row>
    <row r="6" spans="2:9" x14ac:dyDescent="0.25">
      <c r="B6" s="9" t="s">
        <v>287</v>
      </c>
      <c r="C6" t="s">
        <v>262</v>
      </c>
      <c r="D6" s="9" t="s">
        <v>326</v>
      </c>
      <c r="E6">
        <v>1000</v>
      </c>
      <c r="F6">
        <v>1000</v>
      </c>
      <c r="G6">
        <v>1000</v>
      </c>
      <c r="H6">
        <v>1000</v>
      </c>
      <c r="I6">
        <v>1000</v>
      </c>
    </row>
    <row r="7" spans="2:9" x14ac:dyDescent="0.25">
      <c r="B7" s="9" t="s">
        <v>288</v>
      </c>
      <c r="C7" t="s">
        <v>261</v>
      </c>
      <c r="D7" s="9" t="s">
        <v>315</v>
      </c>
      <c r="E7" s="71">
        <f t="shared" ref="E7:I7" ca="1" si="1">15.5%/(1-IF(E4="MAT",E2,E1))</f>
        <v>0.22142857142857145</v>
      </c>
      <c r="F7" s="71">
        <f t="shared" ca="1" si="1"/>
        <v>0.22142857142857145</v>
      </c>
      <c r="G7" s="71">
        <f t="shared" ca="1" si="1"/>
        <v>0.19374999999999998</v>
      </c>
      <c r="H7" s="71">
        <f t="shared" ca="1" si="1"/>
        <v>0.19374999999999998</v>
      </c>
      <c r="I7" s="71">
        <f t="shared" ca="1" si="1"/>
        <v>0.19374999999999998</v>
      </c>
    </row>
    <row r="8" spans="2:9" x14ac:dyDescent="0.25">
      <c r="B8" s="9" t="s">
        <v>289</v>
      </c>
      <c r="C8" t="s">
        <v>260</v>
      </c>
      <c r="D8" s="9" t="s">
        <v>316</v>
      </c>
      <c r="E8" s="1">
        <f t="shared" ref="E8:I8" ca="1" si="2">E6*E7</f>
        <v>221.42857142857144</v>
      </c>
      <c r="F8" s="1">
        <f t="shared" ca="1" si="2"/>
        <v>221.42857142857144</v>
      </c>
      <c r="G8" s="1">
        <f t="shared" ca="1" si="2"/>
        <v>193.74999999999997</v>
      </c>
      <c r="H8" s="1">
        <f t="shared" ca="1" si="2"/>
        <v>193.74999999999997</v>
      </c>
      <c r="I8" s="1">
        <f t="shared" ca="1" si="2"/>
        <v>193.74999999999997</v>
      </c>
    </row>
    <row r="9" spans="2:9" x14ac:dyDescent="0.25">
      <c r="B9" s="9" t="s">
        <v>290</v>
      </c>
      <c r="C9" t="s">
        <v>278</v>
      </c>
      <c r="D9" s="9" t="s">
        <v>324</v>
      </c>
      <c r="E9" s="1">
        <f ca="1">E8*IF(E4="MAT",E2,E1)-E52</f>
        <v>66.428571428571431</v>
      </c>
      <c r="F9" s="1">
        <f ca="1">F8*IF(F4="MAT",F2,F1)-F52</f>
        <v>66.428571428571431</v>
      </c>
      <c r="G9" s="1">
        <f ca="1">G8*IF(G4="MAT",G2,G1)-G52</f>
        <v>38.75</v>
      </c>
      <c r="H9" s="1">
        <f ca="1">H8*IF(H4="MAT",H2,H1)-H52</f>
        <v>38.75</v>
      </c>
      <c r="I9" s="1">
        <f ca="1">I8*IF(I4="MAT",I2,I1)-I52</f>
        <v>38.75</v>
      </c>
    </row>
    <row r="10" spans="2:9" x14ac:dyDescent="0.25">
      <c r="B10" s="9" t="s">
        <v>291</v>
      </c>
      <c r="C10" t="s">
        <v>258</v>
      </c>
      <c r="D10" s="9" t="s">
        <v>325</v>
      </c>
      <c r="E10" s="71">
        <f t="shared" ref="E10:I10" ca="1" si="3">E9/E8</f>
        <v>0.3</v>
      </c>
      <c r="F10" s="71">
        <f t="shared" ca="1" si="3"/>
        <v>0.3</v>
      </c>
      <c r="G10" s="71">
        <f t="shared" ca="1" si="3"/>
        <v>0.20000000000000004</v>
      </c>
      <c r="H10" s="71">
        <f t="shared" ca="1" si="3"/>
        <v>0.20000000000000004</v>
      </c>
      <c r="I10" s="71">
        <f t="shared" ca="1" si="3"/>
        <v>0.20000000000000004</v>
      </c>
    </row>
    <row r="11" spans="2:9" x14ac:dyDescent="0.25">
      <c r="B11" s="9">
        <v>2</v>
      </c>
      <c r="C11" s="6" t="s">
        <v>286</v>
      </c>
      <c r="E11" s="71"/>
      <c r="F11" s="71"/>
      <c r="G11" s="71"/>
      <c r="H11" s="71"/>
      <c r="I11" s="71"/>
    </row>
    <row r="12" spans="2:9" x14ac:dyDescent="0.25">
      <c r="B12" s="9" t="s">
        <v>292</v>
      </c>
      <c r="C12" t="s">
        <v>256</v>
      </c>
      <c r="D12" s="9" t="s">
        <v>326</v>
      </c>
      <c r="E12" s="1">
        <v>1000</v>
      </c>
      <c r="F12" s="1">
        <v>1000</v>
      </c>
      <c r="G12" s="1">
        <v>1000</v>
      </c>
      <c r="H12" s="1">
        <v>1000</v>
      </c>
      <c r="I12" s="1">
        <v>1000</v>
      </c>
    </row>
    <row r="13" spans="2:9" x14ac:dyDescent="0.25">
      <c r="B13" s="9" t="s">
        <v>293</v>
      </c>
      <c r="C13" t="s">
        <v>255</v>
      </c>
      <c r="D13" s="9" t="s">
        <v>326</v>
      </c>
      <c r="E13" s="71">
        <v>0.3</v>
      </c>
      <c r="F13" s="71">
        <v>-0.19</v>
      </c>
      <c r="G13" s="71">
        <v>0.05</v>
      </c>
      <c r="H13" s="71">
        <v>0.3</v>
      </c>
      <c r="I13" s="71">
        <v>0.4</v>
      </c>
    </row>
    <row r="14" spans="2:9" x14ac:dyDescent="0.25">
      <c r="B14" s="9" t="s">
        <v>294</v>
      </c>
      <c r="C14" t="s">
        <v>254</v>
      </c>
      <c r="D14" s="9" t="s">
        <v>327</v>
      </c>
      <c r="E14" s="1">
        <f t="shared" ref="E14:I14" si="4">E12*E13</f>
        <v>300</v>
      </c>
      <c r="F14" s="1">
        <f t="shared" si="4"/>
        <v>-190</v>
      </c>
      <c r="G14" s="1">
        <f t="shared" si="4"/>
        <v>50</v>
      </c>
      <c r="H14" s="1">
        <f t="shared" si="4"/>
        <v>300</v>
      </c>
      <c r="I14" s="1">
        <f t="shared" si="4"/>
        <v>400</v>
      </c>
    </row>
    <row r="15" spans="2:9" x14ac:dyDescent="0.25">
      <c r="B15" s="9" t="s">
        <v>295</v>
      </c>
      <c r="C15" t="s">
        <v>248</v>
      </c>
      <c r="D15" s="9" t="s">
        <v>328</v>
      </c>
      <c r="E15" s="1">
        <v>0</v>
      </c>
      <c r="F15" s="1">
        <f t="shared" ref="F15:I15" si="5">E18</f>
        <v>0</v>
      </c>
      <c r="G15" s="1">
        <f t="shared" si="5"/>
        <v>-190</v>
      </c>
      <c r="H15" s="1">
        <f t="shared" si="5"/>
        <v>-140</v>
      </c>
      <c r="I15" s="1">
        <f t="shared" si="5"/>
        <v>0</v>
      </c>
    </row>
    <row r="16" spans="2:9" x14ac:dyDescent="0.25">
      <c r="B16" s="9" t="s">
        <v>296</v>
      </c>
      <c r="C16" t="s">
        <v>247</v>
      </c>
      <c r="D16" s="9" t="s">
        <v>329</v>
      </c>
      <c r="E16" s="1">
        <f t="shared" ref="E16:I16" si="6">IF(E14&lt;0,E14,0)</f>
        <v>0</v>
      </c>
      <c r="F16" s="1">
        <f t="shared" si="6"/>
        <v>-190</v>
      </c>
      <c r="G16" s="1">
        <f t="shared" si="6"/>
        <v>0</v>
      </c>
      <c r="H16" s="1">
        <f t="shared" si="6"/>
        <v>0</v>
      </c>
      <c r="I16" s="1">
        <f t="shared" si="6"/>
        <v>0</v>
      </c>
    </row>
    <row r="17" spans="2:11" x14ac:dyDescent="0.25">
      <c r="B17" s="9" t="s">
        <v>297</v>
      </c>
      <c r="C17" t="s">
        <v>246</v>
      </c>
      <c r="D17" s="9" t="s">
        <v>330</v>
      </c>
      <c r="E17" s="1">
        <f t="shared" ref="E17:I17" si="7">IF(E14&gt;0,MIN(-E15,E14),0)</f>
        <v>0</v>
      </c>
      <c r="F17" s="1">
        <f t="shared" si="7"/>
        <v>0</v>
      </c>
      <c r="G17" s="1">
        <f t="shared" si="7"/>
        <v>50</v>
      </c>
      <c r="H17" s="1">
        <f t="shared" si="7"/>
        <v>140</v>
      </c>
      <c r="I17" s="1">
        <f t="shared" si="7"/>
        <v>0</v>
      </c>
    </row>
    <row r="18" spans="2:11" x14ac:dyDescent="0.25">
      <c r="B18" s="9" t="s">
        <v>298</v>
      </c>
      <c r="C18" t="s">
        <v>245</v>
      </c>
      <c r="D18" s="9" t="s">
        <v>331</v>
      </c>
      <c r="E18" s="1">
        <f t="shared" ref="E18:I18" si="8">E15+E16+E17</f>
        <v>0</v>
      </c>
      <c r="F18" s="1">
        <f t="shared" si="8"/>
        <v>-190</v>
      </c>
      <c r="G18" s="1">
        <f t="shared" si="8"/>
        <v>-140</v>
      </c>
      <c r="H18" s="1">
        <f t="shared" si="8"/>
        <v>0</v>
      </c>
      <c r="I18" s="1">
        <f t="shared" si="8"/>
        <v>0</v>
      </c>
    </row>
    <row r="19" spans="2:11" x14ac:dyDescent="0.25">
      <c r="B19" s="9" t="s">
        <v>299</v>
      </c>
      <c r="C19" t="s">
        <v>253</v>
      </c>
      <c r="D19" s="9" t="s">
        <v>332</v>
      </c>
      <c r="E19" s="1">
        <f t="shared" ref="E19:I19" si="9">IF(E14&gt;0,E14-E17,0)</f>
        <v>300</v>
      </c>
      <c r="F19" s="1">
        <f t="shared" si="9"/>
        <v>0</v>
      </c>
      <c r="G19" s="1">
        <f t="shared" si="9"/>
        <v>0</v>
      </c>
      <c r="H19" s="1">
        <f t="shared" si="9"/>
        <v>160</v>
      </c>
      <c r="I19" s="1">
        <f t="shared" si="9"/>
        <v>400</v>
      </c>
    </row>
    <row r="20" spans="2:11" x14ac:dyDescent="0.25">
      <c r="B20" s="9" t="s">
        <v>300</v>
      </c>
      <c r="C20" t="s">
        <v>277</v>
      </c>
      <c r="D20" s="9" t="s">
        <v>333</v>
      </c>
      <c r="E20" s="1">
        <f ca="1">E19*IF(E4="MAT",E2,E1)-E53</f>
        <v>90</v>
      </c>
      <c r="F20" s="1">
        <f ca="1">F19*IF(F4="MAT",F2,F1)-F53</f>
        <v>0</v>
      </c>
      <c r="G20" s="1">
        <f ca="1">G19*IF(G4="MAT",G2,G1)-G53</f>
        <v>0</v>
      </c>
      <c r="H20" s="1">
        <f ca="1">H19*IF(H4="MAT",H2,H1)-H53</f>
        <v>32</v>
      </c>
      <c r="I20" s="1">
        <f ca="1">I19*IF(I4="MAT",I2,I1)-I53</f>
        <v>80</v>
      </c>
    </row>
    <row r="21" spans="2:11" x14ac:dyDescent="0.25">
      <c r="B21" s="9" t="s">
        <v>301</v>
      </c>
      <c r="C21" t="s">
        <v>251</v>
      </c>
      <c r="D21" s="9" t="s">
        <v>334</v>
      </c>
      <c r="E21" s="50">
        <f t="shared" ref="E21:I21" ca="1" si="10">IF(E20&gt;0,E20/E14,0)</f>
        <v>0.3</v>
      </c>
      <c r="F21" s="50">
        <f t="shared" ca="1" si="10"/>
        <v>0</v>
      </c>
      <c r="G21" s="50">
        <f t="shared" ca="1" si="10"/>
        <v>0</v>
      </c>
      <c r="H21" s="50">
        <f t="shared" ca="1" si="10"/>
        <v>0.10666666666666667</v>
      </c>
      <c r="I21" s="50">
        <f t="shared" ca="1" si="10"/>
        <v>0.2</v>
      </c>
    </row>
    <row r="22" spans="2:11" x14ac:dyDescent="0.25">
      <c r="E22" s="50"/>
      <c r="F22" s="50"/>
      <c r="G22" s="50"/>
      <c r="H22" s="50"/>
      <c r="I22" s="103"/>
    </row>
    <row r="23" spans="2:11" x14ac:dyDescent="0.25">
      <c r="B23" s="9">
        <v>3</v>
      </c>
      <c r="C23" s="6" t="s">
        <v>250</v>
      </c>
      <c r="D23" s="10"/>
      <c r="E23" s="71"/>
      <c r="F23" s="71"/>
      <c r="G23" s="71"/>
      <c r="H23" s="71"/>
      <c r="I23" s="1"/>
      <c r="J23" s="71"/>
      <c r="K23" s="71"/>
    </row>
    <row r="24" spans="2:11" x14ac:dyDescent="0.25">
      <c r="B24" s="9" t="s">
        <v>305</v>
      </c>
      <c r="C24" t="s">
        <v>249</v>
      </c>
      <c r="D24" s="9" t="s">
        <v>335</v>
      </c>
      <c r="E24" s="1">
        <f t="shared" ref="E24:I24" ca="1" si="11">E8+E14</f>
        <v>521.42857142857144</v>
      </c>
      <c r="F24" s="1">
        <f t="shared" ca="1" si="11"/>
        <v>31.428571428571445</v>
      </c>
      <c r="G24" s="1">
        <f t="shared" ca="1" si="11"/>
        <v>243.74999999999997</v>
      </c>
      <c r="H24" s="1">
        <f t="shared" ca="1" si="11"/>
        <v>493.75</v>
      </c>
      <c r="I24" s="1">
        <f t="shared" ca="1" si="11"/>
        <v>593.75</v>
      </c>
    </row>
    <row r="25" spans="2:11" x14ac:dyDescent="0.25">
      <c r="B25" s="9" t="s">
        <v>306</v>
      </c>
      <c r="C25" t="s">
        <v>248</v>
      </c>
      <c r="D25" s="9" t="s">
        <v>336</v>
      </c>
      <c r="E25" s="1">
        <v>0</v>
      </c>
      <c r="F25" s="1">
        <f t="shared" ref="F25:I25" ca="1" si="12">E28</f>
        <v>0</v>
      </c>
      <c r="G25" s="1">
        <f t="shared" ca="1" si="12"/>
        <v>0</v>
      </c>
      <c r="H25" s="1">
        <f t="shared" ca="1" si="12"/>
        <v>0</v>
      </c>
      <c r="I25" s="1">
        <f t="shared" ca="1" si="12"/>
        <v>0</v>
      </c>
    </row>
    <row r="26" spans="2:11" x14ac:dyDescent="0.25">
      <c r="B26" s="9" t="s">
        <v>307</v>
      </c>
      <c r="C26" t="s">
        <v>247</v>
      </c>
      <c r="D26" s="9" t="s">
        <v>337</v>
      </c>
      <c r="E26" s="1">
        <f t="shared" ref="E26:I26" ca="1" si="13">IF(E24&lt;0,E24,0)</f>
        <v>0</v>
      </c>
      <c r="F26" s="1">
        <f t="shared" ca="1" si="13"/>
        <v>0</v>
      </c>
      <c r="G26" s="1">
        <f t="shared" ca="1" si="13"/>
        <v>0</v>
      </c>
      <c r="H26" s="1">
        <f t="shared" ca="1" si="13"/>
        <v>0</v>
      </c>
      <c r="I26" s="1">
        <f t="shared" ca="1" si="13"/>
        <v>0</v>
      </c>
    </row>
    <row r="27" spans="2:11" x14ac:dyDescent="0.25">
      <c r="B27" s="9" t="s">
        <v>308</v>
      </c>
      <c r="C27" t="s">
        <v>246</v>
      </c>
      <c r="D27" s="9" t="s">
        <v>338</v>
      </c>
      <c r="E27" s="1">
        <f t="shared" ref="E27:I27" ca="1" si="14">IF(E24&gt;0,MIN(-E25,E24),0)</f>
        <v>0</v>
      </c>
      <c r="F27" s="1">
        <f t="shared" ca="1" si="14"/>
        <v>0</v>
      </c>
      <c r="G27" s="1">
        <f t="shared" ca="1" si="14"/>
        <v>0</v>
      </c>
      <c r="H27" s="1">
        <f t="shared" ca="1" si="14"/>
        <v>0</v>
      </c>
      <c r="I27" s="1">
        <f t="shared" ca="1" si="14"/>
        <v>0</v>
      </c>
    </row>
    <row r="28" spans="2:11" x14ac:dyDescent="0.25">
      <c r="B28" s="9" t="s">
        <v>309</v>
      </c>
      <c r="C28" t="s">
        <v>245</v>
      </c>
      <c r="D28" s="9" t="s">
        <v>339</v>
      </c>
      <c r="E28" s="1">
        <f t="shared" ref="E28:I28" ca="1" si="15">E25+E26+E27</f>
        <v>0</v>
      </c>
      <c r="F28" s="1">
        <f t="shared" ca="1" si="15"/>
        <v>0</v>
      </c>
      <c r="G28" s="1">
        <f t="shared" ca="1" si="15"/>
        <v>0</v>
      </c>
      <c r="H28" s="1">
        <f t="shared" ca="1" si="15"/>
        <v>0</v>
      </c>
      <c r="I28" s="1">
        <f t="shared" ca="1" si="15"/>
        <v>0</v>
      </c>
    </row>
    <row r="29" spans="2:11" x14ac:dyDescent="0.25">
      <c r="B29" s="9" t="s">
        <v>310</v>
      </c>
      <c r="C29" t="s">
        <v>265</v>
      </c>
      <c r="D29" s="9" t="s">
        <v>340</v>
      </c>
      <c r="E29" s="1">
        <f t="shared" ref="E29:I29" ca="1" si="16">IF(E24&gt;0,E24-E27,0)</f>
        <v>521.42857142857144</v>
      </c>
      <c r="F29" s="1">
        <f t="shared" ca="1" si="16"/>
        <v>31.428571428571445</v>
      </c>
      <c r="G29" s="1">
        <f t="shared" ca="1" si="16"/>
        <v>243.74999999999997</v>
      </c>
      <c r="H29" s="1">
        <f t="shared" ca="1" si="16"/>
        <v>493.75</v>
      </c>
      <c r="I29" s="1">
        <f t="shared" ca="1" si="16"/>
        <v>593.75</v>
      </c>
    </row>
    <row r="30" spans="2:11" x14ac:dyDescent="0.25">
      <c r="B30" s="9" t="s">
        <v>311</v>
      </c>
      <c r="C30" t="s">
        <v>271</v>
      </c>
      <c r="D30" s="9" t="s">
        <v>341</v>
      </c>
      <c r="E30" s="1">
        <f t="shared" ref="E30:I30" ca="1" si="17">IF(E3="No",(E29*E1),0)</f>
        <v>156.42857142857142</v>
      </c>
      <c r="F30" s="1">
        <f t="shared" ca="1" si="17"/>
        <v>9.4285714285714324</v>
      </c>
      <c r="G30" s="1">
        <f t="shared" si="17"/>
        <v>0</v>
      </c>
      <c r="H30" s="1">
        <f t="shared" si="17"/>
        <v>0</v>
      </c>
      <c r="I30" s="1">
        <f t="shared" si="17"/>
        <v>0</v>
      </c>
    </row>
    <row r="31" spans="2:11" x14ac:dyDescent="0.25">
      <c r="B31" s="9" t="s">
        <v>312</v>
      </c>
      <c r="C31" t="s">
        <v>272</v>
      </c>
      <c r="D31" s="9" t="s">
        <v>342</v>
      </c>
      <c r="E31" s="1">
        <f t="shared" ref="E31:I31" ca="1" si="18">E29*E2</f>
        <v>104.28571428571429</v>
      </c>
      <c r="F31" s="1">
        <f t="shared" ca="1" si="18"/>
        <v>6.2857142857142891</v>
      </c>
      <c r="G31" s="1">
        <f t="shared" ca="1" si="18"/>
        <v>48.75</v>
      </c>
      <c r="H31" s="1">
        <f t="shared" ca="1" si="18"/>
        <v>98.75</v>
      </c>
      <c r="I31" s="1">
        <f t="shared" ca="1" si="18"/>
        <v>118.75</v>
      </c>
    </row>
    <row r="32" spans="2:11" x14ac:dyDescent="0.25">
      <c r="B32" s="9" t="s">
        <v>302</v>
      </c>
      <c r="C32" t="s">
        <v>242</v>
      </c>
      <c r="D32" s="9" t="s">
        <v>343</v>
      </c>
      <c r="E32" s="1">
        <f ca="1">MAX(E30:E31)</f>
        <v>156.42857142857142</v>
      </c>
      <c r="F32" s="1">
        <f t="shared" ref="F32:I32" ca="1" si="19">MAX(F30:F31)</f>
        <v>9.4285714285714324</v>
      </c>
      <c r="G32" s="1">
        <f t="shared" ca="1" si="19"/>
        <v>48.75</v>
      </c>
      <c r="H32" s="1">
        <f t="shared" ca="1" si="19"/>
        <v>98.75</v>
      </c>
      <c r="I32" s="1">
        <f t="shared" ca="1" si="19"/>
        <v>118.75</v>
      </c>
    </row>
    <row r="33" spans="2:9" x14ac:dyDescent="0.25">
      <c r="B33" s="9" t="s">
        <v>313</v>
      </c>
      <c r="C33" t="s">
        <v>276</v>
      </c>
      <c r="D33" s="9" t="s">
        <v>344</v>
      </c>
      <c r="E33" s="1">
        <f ca="1">E32-E50</f>
        <v>156.42857142857142</v>
      </c>
      <c r="F33" s="1">
        <f ca="1">F32-F50</f>
        <v>9.4285714285714324</v>
      </c>
      <c r="G33" s="1">
        <f ca="1">G32-G50</f>
        <v>48.75</v>
      </c>
      <c r="H33" s="1">
        <f ca="1">H32-H50</f>
        <v>98.75</v>
      </c>
      <c r="I33" s="1">
        <f ca="1">I32-I50</f>
        <v>118.75</v>
      </c>
    </row>
    <row r="34" spans="2:9" x14ac:dyDescent="0.25">
      <c r="B34" s="9" t="s">
        <v>314</v>
      </c>
      <c r="C34" s="6" t="s">
        <v>267</v>
      </c>
      <c r="D34" s="106" t="s">
        <v>345</v>
      </c>
      <c r="E34" s="78">
        <f t="shared" ref="E34:I34" ca="1" si="20">IF(E33&gt;0,E33/E24,0)</f>
        <v>0.3</v>
      </c>
      <c r="F34" s="78">
        <f t="shared" ca="1" si="20"/>
        <v>0.3</v>
      </c>
      <c r="G34" s="78">
        <f t="shared" ca="1" si="20"/>
        <v>0.2</v>
      </c>
      <c r="H34" s="78">
        <f t="shared" ca="1" si="20"/>
        <v>0.2</v>
      </c>
      <c r="I34" s="78">
        <f t="shared" ca="1" si="20"/>
        <v>0.2</v>
      </c>
    </row>
    <row r="36" spans="2:9" hidden="1" x14ac:dyDescent="0.25">
      <c r="E36" s="50"/>
      <c r="F36" s="50"/>
      <c r="G36" s="50"/>
      <c r="H36" s="50"/>
      <c r="I36" s="50"/>
    </row>
    <row r="37" spans="2:9" hidden="1" x14ac:dyDescent="0.25">
      <c r="E37" s="1"/>
      <c r="F37" s="1"/>
      <c r="G37" s="1"/>
      <c r="H37" s="1"/>
      <c r="I37" s="1"/>
    </row>
    <row r="38" spans="2:9" x14ac:dyDescent="0.25">
      <c r="C38" s="6" t="s">
        <v>279</v>
      </c>
      <c r="E38" s="9"/>
      <c r="F38" s="9"/>
      <c r="G38" s="9"/>
      <c r="H38" s="9"/>
      <c r="I38" s="9"/>
    </row>
    <row r="39" spans="2:9" x14ac:dyDescent="0.25">
      <c r="C39" t="s">
        <v>389</v>
      </c>
      <c r="D39" s="9" t="s">
        <v>352</v>
      </c>
      <c r="E39" s="50">
        <f ca="1">E34</f>
        <v>0.3</v>
      </c>
      <c r="F39" s="50">
        <f ca="1">F34</f>
        <v>0.3</v>
      </c>
      <c r="G39" s="50">
        <f ca="1">G34</f>
        <v>0.2</v>
      </c>
      <c r="H39" s="50">
        <f ca="1">H34</f>
        <v>0.2</v>
      </c>
      <c r="I39" s="50">
        <f ca="1">I34</f>
        <v>0.2</v>
      </c>
    </row>
    <row r="40" spans="2:9" x14ac:dyDescent="0.25">
      <c r="C40" t="s">
        <v>281</v>
      </c>
      <c r="D40" s="9" t="s">
        <v>353</v>
      </c>
      <c r="E40" s="50">
        <f ca="1">E21</f>
        <v>0.3</v>
      </c>
      <c r="F40" s="50">
        <f ca="1">F21</f>
        <v>0</v>
      </c>
      <c r="G40" s="50">
        <f ca="1">G21</f>
        <v>0</v>
      </c>
      <c r="H40" s="50">
        <f ca="1">H21</f>
        <v>0.10666666666666667</v>
      </c>
      <c r="I40" s="50">
        <f ca="1">I21</f>
        <v>0.2</v>
      </c>
    </row>
    <row r="41" spans="2:9" x14ac:dyDescent="0.25">
      <c r="C41" t="s">
        <v>280</v>
      </c>
      <c r="D41" s="9" t="s">
        <v>354</v>
      </c>
      <c r="E41" s="50">
        <f ca="1">E10</f>
        <v>0.3</v>
      </c>
      <c r="F41" s="50">
        <f ca="1">F10</f>
        <v>0.3</v>
      </c>
      <c r="G41" s="50">
        <f ca="1">G10</f>
        <v>0.20000000000000004</v>
      </c>
      <c r="H41" s="50">
        <f ca="1">H10</f>
        <v>0.20000000000000004</v>
      </c>
      <c r="I41" s="50">
        <f ca="1">I10</f>
        <v>0.20000000000000004</v>
      </c>
    </row>
    <row r="42" spans="2:9" x14ac:dyDescent="0.25">
      <c r="C42" t="s">
        <v>390</v>
      </c>
      <c r="E42" s="71"/>
      <c r="F42" s="71"/>
      <c r="G42" s="71"/>
      <c r="H42" s="71"/>
      <c r="I42" s="71"/>
    </row>
    <row r="43" spans="2:9" x14ac:dyDescent="0.25">
      <c r="E43" s="71"/>
      <c r="F43" s="71"/>
      <c r="G43" s="71"/>
      <c r="H43" s="71"/>
      <c r="I43" s="71"/>
    </row>
    <row r="44" spans="2:9" x14ac:dyDescent="0.25">
      <c r="E44" s="71"/>
      <c r="F44" s="71"/>
      <c r="G44" s="71"/>
      <c r="H44" s="71"/>
      <c r="I44" s="71"/>
    </row>
    <row r="45" spans="2:9" x14ac:dyDescent="0.25">
      <c r="E45" s="71"/>
      <c r="F45" s="71"/>
      <c r="G45" s="71"/>
      <c r="H45" s="71"/>
      <c r="I45" s="71"/>
    </row>
    <row r="46" spans="2:9" x14ac:dyDescent="0.25">
      <c r="B46" s="107">
        <v>4</v>
      </c>
      <c r="C46" s="105" t="s">
        <v>282</v>
      </c>
      <c r="D46" s="107"/>
      <c r="E46" s="101"/>
      <c r="F46" s="101"/>
      <c r="G46" s="101"/>
      <c r="H46" s="101"/>
      <c r="I46" s="101"/>
    </row>
    <row r="47" spans="2:9" x14ac:dyDescent="0.25">
      <c r="B47" s="107" t="s">
        <v>317</v>
      </c>
      <c r="C47" s="101" t="s">
        <v>273</v>
      </c>
      <c r="D47" s="107" t="s">
        <v>321</v>
      </c>
      <c r="E47" s="101">
        <v>0</v>
      </c>
      <c r="F47" s="102">
        <f ca="1">E51</f>
        <v>0</v>
      </c>
      <c r="G47" s="102">
        <f t="shared" ref="G47:I47" ca="1" si="21">F51</f>
        <v>0</v>
      </c>
      <c r="H47" s="102">
        <f t="shared" ca="1" si="21"/>
        <v>48.75</v>
      </c>
      <c r="I47" s="102">
        <f t="shared" ca="1" si="21"/>
        <v>147.5</v>
      </c>
    </row>
    <row r="48" spans="2:9" x14ac:dyDescent="0.25">
      <c r="B48" s="107" t="s">
        <v>318</v>
      </c>
      <c r="C48" s="101" t="s">
        <v>233</v>
      </c>
      <c r="D48" s="107" t="s">
        <v>346</v>
      </c>
      <c r="E48" s="102">
        <f ca="1">IF(E4="MAT",E31-E30,0)</f>
        <v>0</v>
      </c>
      <c r="F48" s="102">
        <f ca="1">IF(F4="MAT",F31-F30,0)</f>
        <v>0</v>
      </c>
      <c r="G48" s="102">
        <f ca="1">IF(G4="MAT",G31-G30,0)</f>
        <v>48.75</v>
      </c>
      <c r="H48" s="102">
        <f ca="1">IF(H4="MAT",H31-H30,0)</f>
        <v>98.75</v>
      </c>
      <c r="I48" s="102">
        <f ca="1">IF(I4="MAT",I31-I30,0)</f>
        <v>118.75</v>
      </c>
    </row>
    <row r="49" spans="2:9" x14ac:dyDescent="0.25">
      <c r="B49" s="107" t="s">
        <v>319</v>
      </c>
      <c r="C49" s="101" t="s">
        <v>274</v>
      </c>
      <c r="D49" s="107" t="s">
        <v>347</v>
      </c>
      <c r="E49" s="102">
        <f ca="1">E47+E48</f>
        <v>0</v>
      </c>
      <c r="F49" s="102">
        <f t="shared" ref="F49:I49" ca="1" si="22">F47+F48</f>
        <v>0</v>
      </c>
      <c r="G49" s="102">
        <f t="shared" ca="1" si="22"/>
        <v>48.75</v>
      </c>
      <c r="H49" s="102">
        <f t="shared" ca="1" si="22"/>
        <v>147.5</v>
      </c>
      <c r="I49" s="102">
        <f t="shared" ca="1" si="22"/>
        <v>266.25</v>
      </c>
    </row>
    <row r="50" spans="2:9" x14ac:dyDescent="0.25">
      <c r="B50" s="107" t="s">
        <v>320</v>
      </c>
      <c r="C50" s="101" t="s">
        <v>243</v>
      </c>
      <c r="D50" s="107" t="s">
        <v>348</v>
      </c>
      <c r="E50" s="102">
        <f ca="1">IF(E4="Normal",MIN(E49,E31),0)</f>
        <v>0</v>
      </c>
      <c r="F50" s="102">
        <f ca="1">IF(F4="Normal",MIN(F49,F31),0)</f>
        <v>0</v>
      </c>
      <c r="G50" s="102">
        <f ca="1">IF(G4="Normal",MIN(G49,G31),0)</f>
        <v>0</v>
      </c>
      <c r="H50" s="102">
        <f ca="1">IF(H4="Normal",MIN(H49,H31),0)</f>
        <v>0</v>
      </c>
      <c r="I50" s="102">
        <f ca="1">IF(I4="Normal",MIN(I49,I31),0)</f>
        <v>0</v>
      </c>
    </row>
    <row r="51" spans="2:9" x14ac:dyDescent="0.25">
      <c r="B51" s="107" t="s">
        <v>321</v>
      </c>
      <c r="C51" s="101" t="s">
        <v>275</v>
      </c>
      <c r="D51" s="107" t="s">
        <v>349</v>
      </c>
      <c r="E51" s="102">
        <f ca="1">E49-E50</f>
        <v>0</v>
      </c>
      <c r="F51" s="102">
        <f t="shared" ref="F51:I51" ca="1" si="23">F49-F50</f>
        <v>0</v>
      </c>
      <c r="G51" s="102">
        <f t="shared" ca="1" si="23"/>
        <v>48.75</v>
      </c>
      <c r="H51" s="102">
        <f t="shared" ca="1" si="23"/>
        <v>147.5</v>
      </c>
      <c r="I51" s="102">
        <f t="shared" ca="1" si="23"/>
        <v>266.25</v>
      </c>
    </row>
    <row r="52" spans="2:9" x14ac:dyDescent="0.25">
      <c r="B52" s="107" t="s">
        <v>322</v>
      </c>
      <c r="C52" s="100" t="s">
        <v>283</v>
      </c>
      <c r="D52" s="108" t="s">
        <v>350</v>
      </c>
      <c r="E52" s="102">
        <f ca="1">E50*E8/E24</f>
        <v>0</v>
      </c>
      <c r="F52" s="102">
        <f ca="1">F50*F8/F24</f>
        <v>0</v>
      </c>
      <c r="G52" s="102">
        <f ca="1">G50*G8/G24</f>
        <v>0</v>
      </c>
      <c r="H52" s="102">
        <f ca="1">H50*H8/H24</f>
        <v>0</v>
      </c>
      <c r="I52" s="102">
        <f ca="1">I50*I8/I24</f>
        <v>0</v>
      </c>
    </row>
    <row r="53" spans="2:9" x14ac:dyDescent="0.25">
      <c r="B53" s="107" t="s">
        <v>323</v>
      </c>
      <c r="C53" s="100" t="s">
        <v>284</v>
      </c>
      <c r="D53" s="108" t="s">
        <v>351</v>
      </c>
      <c r="E53" s="102">
        <f ca="1">E50*E19/E24</f>
        <v>0</v>
      </c>
      <c r="F53" s="102">
        <f ca="1">F50*F19/F24</f>
        <v>0</v>
      </c>
      <c r="G53" s="102">
        <f ca="1">G50*G19/G24</f>
        <v>0</v>
      </c>
      <c r="H53" s="102">
        <f ca="1">H50*H19/H24</f>
        <v>0</v>
      </c>
      <c r="I53" s="102">
        <f ca="1">I50*I19/I24</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workbookViewId="0">
      <pane xSplit="4" ySplit="4" topLeftCell="E5" activePane="bottomRight" state="frozen"/>
      <selection pane="topRight" activeCell="D1" sqref="D1"/>
      <selection pane="bottomLeft" activeCell="A5" sqref="A5"/>
      <selection pane="bottomRight" activeCell="E3" sqref="E3"/>
    </sheetView>
  </sheetViews>
  <sheetFormatPr defaultRowHeight="15" x14ac:dyDescent="0.25"/>
  <cols>
    <col min="2" max="2" width="3.7109375" style="9" bestFit="1" customWidth="1"/>
    <col min="3" max="3" width="47" bestFit="1" customWidth="1"/>
    <col min="4" max="4" width="21" style="9" customWidth="1"/>
    <col min="10" max="10" width="10.140625" bestFit="1" customWidth="1"/>
  </cols>
  <sheetData>
    <row r="1" spans="2:14" x14ac:dyDescent="0.25">
      <c r="B1" s="9" t="s">
        <v>135</v>
      </c>
      <c r="C1" t="s">
        <v>269</v>
      </c>
      <c r="E1" s="99">
        <v>0.3</v>
      </c>
      <c r="F1" s="99">
        <v>0.3</v>
      </c>
      <c r="G1" s="99">
        <v>0.3</v>
      </c>
      <c r="H1" s="99">
        <v>0.3</v>
      </c>
      <c r="I1" s="99">
        <v>0.3</v>
      </c>
      <c r="J1" s="99">
        <v>0.3</v>
      </c>
      <c r="K1" s="99">
        <v>0.3</v>
      </c>
      <c r="L1" s="99">
        <v>0.3</v>
      </c>
      <c r="M1" s="99">
        <v>0.3</v>
      </c>
      <c r="N1" s="99">
        <v>0.3</v>
      </c>
    </row>
    <row r="2" spans="2:14" x14ac:dyDescent="0.25">
      <c r="B2" s="9" t="s">
        <v>186</v>
      </c>
      <c r="C2" t="s">
        <v>270</v>
      </c>
      <c r="D2" s="10"/>
      <c r="E2" s="99">
        <v>0.2</v>
      </c>
      <c r="F2" s="99">
        <v>0.2</v>
      </c>
      <c r="G2" s="99">
        <v>0.2</v>
      </c>
      <c r="H2" s="99">
        <v>0.2</v>
      </c>
      <c r="I2" s="99">
        <v>0.2</v>
      </c>
      <c r="J2" s="99">
        <v>0.2</v>
      </c>
      <c r="K2" s="99">
        <v>0.2</v>
      </c>
      <c r="L2" s="99">
        <v>0.2</v>
      </c>
      <c r="M2" s="99">
        <v>0.2</v>
      </c>
      <c r="N2" s="99">
        <v>0.2</v>
      </c>
    </row>
    <row r="3" spans="2:14" x14ac:dyDescent="0.25">
      <c r="C3" s="6" t="s">
        <v>268</v>
      </c>
      <c r="E3" s="79" t="s">
        <v>8</v>
      </c>
      <c r="F3" s="79" t="s">
        <v>8</v>
      </c>
      <c r="G3" s="79" t="s">
        <v>8</v>
      </c>
      <c r="H3" s="79" t="s">
        <v>241</v>
      </c>
      <c r="I3" s="79" t="s">
        <v>241</v>
      </c>
      <c r="J3" s="79" t="s">
        <v>241</v>
      </c>
      <c r="K3" s="79" t="s">
        <v>241</v>
      </c>
      <c r="L3" s="79" t="s">
        <v>241</v>
      </c>
      <c r="M3" s="79" t="s">
        <v>241</v>
      </c>
      <c r="N3" s="79" t="s">
        <v>241</v>
      </c>
    </row>
    <row r="4" spans="2:14" x14ac:dyDescent="0.25">
      <c r="C4" t="s">
        <v>234</v>
      </c>
      <c r="E4" s="9" t="str">
        <f ca="1">IF(E32=E30,"Normal","MAT")</f>
        <v>MAT</v>
      </c>
      <c r="F4" s="9" t="str">
        <f t="shared" ref="F4:N4" ca="1" si="0">IF(F32=F30,"Normal","MAT")</f>
        <v>MAT</v>
      </c>
      <c r="G4" s="9" t="str">
        <f t="shared" ca="1" si="0"/>
        <v>MAT</v>
      </c>
      <c r="H4" s="9" t="str">
        <f t="shared" ca="1" si="0"/>
        <v>Normal</v>
      </c>
      <c r="I4" s="9" t="str">
        <f t="shared" ca="1" si="0"/>
        <v>Normal</v>
      </c>
      <c r="J4" s="9" t="str">
        <f t="shared" ca="1" si="0"/>
        <v>Normal</v>
      </c>
      <c r="K4" s="9" t="str">
        <f t="shared" ca="1" si="0"/>
        <v>Normal</v>
      </c>
      <c r="L4" s="9" t="str">
        <f t="shared" ca="1" si="0"/>
        <v>Normal</v>
      </c>
      <c r="M4" s="9" t="str">
        <f t="shared" ca="1" si="0"/>
        <v>Normal</v>
      </c>
      <c r="N4" s="9" t="str">
        <f t="shared" ca="1" si="0"/>
        <v>Normal</v>
      </c>
    </row>
    <row r="5" spans="2:14" x14ac:dyDescent="0.25">
      <c r="B5" s="9">
        <v>1</v>
      </c>
      <c r="C5" s="6" t="s">
        <v>285</v>
      </c>
      <c r="E5" s="9"/>
      <c r="F5" s="9"/>
      <c r="G5" s="9"/>
      <c r="H5" s="9"/>
      <c r="I5" s="9"/>
      <c r="J5" s="9"/>
      <c r="K5" s="9"/>
      <c r="L5" s="9"/>
      <c r="M5" s="9"/>
      <c r="N5" s="9"/>
    </row>
    <row r="6" spans="2:14" x14ac:dyDescent="0.25">
      <c r="B6" s="9" t="s">
        <v>287</v>
      </c>
      <c r="C6" t="s">
        <v>262</v>
      </c>
      <c r="D6" s="9" t="s">
        <v>326</v>
      </c>
      <c r="E6">
        <v>1000</v>
      </c>
      <c r="F6">
        <v>1000</v>
      </c>
      <c r="G6">
        <v>1000</v>
      </c>
      <c r="H6">
        <v>1000</v>
      </c>
      <c r="I6">
        <v>1000</v>
      </c>
      <c r="J6">
        <v>1000</v>
      </c>
      <c r="K6">
        <v>1000</v>
      </c>
      <c r="L6">
        <v>1000</v>
      </c>
      <c r="M6">
        <v>1000</v>
      </c>
      <c r="N6">
        <v>1000</v>
      </c>
    </row>
    <row r="7" spans="2:14" x14ac:dyDescent="0.25">
      <c r="B7" s="9" t="s">
        <v>288</v>
      </c>
      <c r="C7" t="s">
        <v>261</v>
      </c>
      <c r="D7" s="9" t="s">
        <v>315</v>
      </c>
      <c r="E7" s="71">
        <f t="shared" ref="E7:N7" ca="1" si="1">15.5%/(1-IF(E4="MAT",E2,E1))</f>
        <v>0.19374999999999998</v>
      </c>
      <c r="F7" s="71">
        <f t="shared" ca="1" si="1"/>
        <v>0.19374999999999998</v>
      </c>
      <c r="G7" s="71">
        <f t="shared" ca="1" si="1"/>
        <v>0.19374999999999998</v>
      </c>
      <c r="H7" s="71">
        <f t="shared" ca="1" si="1"/>
        <v>0.22142857142857145</v>
      </c>
      <c r="I7" s="71">
        <f t="shared" ca="1" si="1"/>
        <v>0.22142857142857145</v>
      </c>
      <c r="J7" s="71">
        <f t="shared" ca="1" si="1"/>
        <v>0.22142857142857145</v>
      </c>
      <c r="K7" s="71">
        <f t="shared" ca="1" si="1"/>
        <v>0.22142857142857145</v>
      </c>
      <c r="L7" s="71">
        <f t="shared" ca="1" si="1"/>
        <v>0.22142857142857145</v>
      </c>
      <c r="M7" s="71">
        <f t="shared" ca="1" si="1"/>
        <v>0.22142857142857145</v>
      </c>
      <c r="N7" s="71">
        <f t="shared" ca="1" si="1"/>
        <v>0.22142857142857145</v>
      </c>
    </row>
    <row r="8" spans="2:14" x14ac:dyDescent="0.25">
      <c r="B8" s="9" t="s">
        <v>289</v>
      </c>
      <c r="C8" t="s">
        <v>260</v>
      </c>
      <c r="D8" s="9" t="s">
        <v>316</v>
      </c>
      <c r="E8" s="1">
        <f t="shared" ref="E8:N8" ca="1" si="2">E6*E7</f>
        <v>193.74999999999997</v>
      </c>
      <c r="F8" s="1">
        <f t="shared" ca="1" si="2"/>
        <v>193.74999999999997</v>
      </c>
      <c r="G8" s="1">
        <f t="shared" ca="1" si="2"/>
        <v>193.74999999999997</v>
      </c>
      <c r="H8" s="1">
        <f t="shared" ca="1" si="2"/>
        <v>221.42857142857144</v>
      </c>
      <c r="I8" s="1">
        <f t="shared" ca="1" si="2"/>
        <v>221.42857142857144</v>
      </c>
      <c r="J8" s="1">
        <f t="shared" ca="1" si="2"/>
        <v>221.42857142857144</v>
      </c>
      <c r="K8" s="1">
        <f t="shared" ca="1" si="2"/>
        <v>221.42857142857144</v>
      </c>
      <c r="L8" s="1">
        <f t="shared" ca="1" si="2"/>
        <v>221.42857142857144</v>
      </c>
      <c r="M8" s="1">
        <f t="shared" ca="1" si="2"/>
        <v>221.42857142857144</v>
      </c>
      <c r="N8" s="1">
        <f t="shared" ca="1" si="2"/>
        <v>221.42857142857144</v>
      </c>
    </row>
    <row r="9" spans="2:14" x14ac:dyDescent="0.25">
      <c r="B9" s="9" t="s">
        <v>290</v>
      </c>
      <c r="C9" t="s">
        <v>278</v>
      </c>
      <c r="D9" s="9" t="s">
        <v>324</v>
      </c>
      <c r="E9" s="1">
        <f t="shared" ref="E9:N9" ca="1" si="3">E8*IF(E4="MAT",E2,E1)-E42</f>
        <v>38.75</v>
      </c>
      <c r="F9" s="1">
        <f t="shared" ca="1" si="3"/>
        <v>38.75</v>
      </c>
      <c r="G9" s="1">
        <f t="shared" ca="1" si="3"/>
        <v>38.75</v>
      </c>
      <c r="H9" s="1">
        <f t="shared" ca="1" si="3"/>
        <v>66.428571428571431</v>
      </c>
      <c r="I9" s="1">
        <f t="shared" ca="1" si="3"/>
        <v>66.428571428571431</v>
      </c>
      <c r="J9" s="1">
        <f t="shared" ca="1" si="3"/>
        <v>66.428571428571431</v>
      </c>
      <c r="K9" s="1">
        <f t="shared" ca="1" si="3"/>
        <v>66.428571428571431</v>
      </c>
      <c r="L9" s="1">
        <f t="shared" ca="1" si="3"/>
        <v>44.999999999999986</v>
      </c>
      <c r="M9" s="1">
        <f t="shared" ca="1" si="3"/>
        <v>22.142857142857139</v>
      </c>
      <c r="N9" s="1">
        <f t="shared" ca="1" si="3"/>
        <v>60.892857142857153</v>
      </c>
    </row>
    <row r="10" spans="2:14" x14ac:dyDescent="0.25">
      <c r="B10" s="9" t="s">
        <v>291</v>
      </c>
      <c r="C10" t="s">
        <v>258</v>
      </c>
      <c r="D10" s="9" t="s">
        <v>325</v>
      </c>
      <c r="E10" s="71">
        <f t="shared" ref="E10:N10" ca="1" si="4">E9/E8</f>
        <v>0.20000000000000004</v>
      </c>
      <c r="F10" s="71">
        <f t="shared" ca="1" si="4"/>
        <v>0.20000000000000004</v>
      </c>
      <c r="G10" s="71">
        <f t="shared" ca="1" si="4"/>
        <v>0.20000000000000004</v>
      </c>
      <c r="H10" s="71">
        <f t="shared" ca="1" si="4"/>
        <v>0.3</v>
      </c>
      <c r="I10" s="71">
        <f t="shared" ca="1" si="4"/>
        <v>0.3</v>
      </c>
      <c r="J10" s="71">
        <f t="shared" ca="1" si="4"/>
        <v>0.3</v>
      </c>
      <c r="K10" s="71">
        <f t="shared" ca="1" si="4"/>
        <v>0.3</v>
      </c>
      <c r="L10" s="71">
        <f t="shared" ca="1" si="4"/>
        <v>0.20322580645161281</v>
      </c>
      <c r="M10" s="71">
        <f t="shared" ca="1" si="4"/>
        <v>9.9999999999999978E-2</v>
      </c>
      <c r="N10" s="71">
        <f t="shared" ca="1" si="4"/>
        <v>0.27500000000000002</v>
      </c>
    </row>
    <row r="11" spans="2:14" x14ac:dyDescent="0.25">
      <c r="B11" s="9">
        <v>2</v>
      </c>
      <c r="C11" s="6" t="s">
        <v>286</v>
      </c>
      <c r="E11" s="71"/>
      <c r="F11" s="71"/>
      <c r="G11" s="71"/>
      <c r="H11" s="71"/>
      <c r="I11" s="71"/>
      <c r="J11" s="71"/>
      <c r="K11" s="71"/>
      <c r="L11" s="71"/>
      <c r="M11" s="71"/>
      <c r="N11" s="71"/>
    </row>
    <row r="12" spans="2:14" x14ac:dyDescent="0.25">
      <c r="B12" s="9" t="s">
        <v>292</v>
      </c>
      <c r="C12" t="s">
        <v>256</v>
      </c>
      <c r="D12" s="9" t="s">
        <v>326</v>
      </c>
      <c r="E12" s="1">
        <v>1000</v>
      </c>
      <c r="F12" s="1">
        <v>1000</v>
      </c>
      <c r="G12" s="1">
        <v>1000</v>
      </c>
      <c r="H12" s="1">
        <v>1000</v>
      </c>
      <c r="I12" s="1">
        <v>1000</v>
      </c>
      <c r="J12" s="1">
        <v>1000</v>
      </c>
      <c r="K12" s="1">
        <v>1000</v>
      </c>
      <c r="L12" s="1">
        <v>1000</v>
      </c>
      <c r="M12" s="1">
        <v>1000</v>
      </c>
      <c r="N12" s="1">
        <v>1000</v>
      </c>
    </row>
    <row r="13" spans="2:14" x14ac:dyDescent="0.25">
      <c r="B13" s="9" t="s">
        <v>293</v>
      </c>
      <c r="C13" t="s">
        <v>255</v>
      </c>
      <c r="D13" s="9" t="s">
        <v>326</v>
      </c>
      <c r="E13" s="71">
        <v>0</v>
      </c>
      <c r="F13" s="71">
        <v>0</v>
      </c>
      <c r="G13" s="71">
        <v>0</v>
      </c>
      <c r="H13" s="71">
        <v>-1</v>
      </c>
      <c r="I13" s="71">
        <v>0</v>
      </c>
      <c r="J13" s="71">
        <v>0</v>
      </c>
      <c r="K13" s="71">
        <v>0</v>
      </c>
      <c r="L13" s="71">
        <v>0</v>
      </c>
      <c r="M13" s="71">
        <v>0.2</v>
      </c>
      <c r="N13" s="71">
        <v>0.2</v>
      </c>
    </row>
    <row r="14" spans="2:14" x14ac:dyDescent="0.25">
      <c r="B14" s="9" t="s">
        <v>294</v>
      </c>
      <c r="C14" t="s">
        <v>254</v>
      </c>
      <c r="D14" s="9" t="s">
        <v>327</v>
      </c>
      <c r="E14" s="1">
        <f t="shared" ref="E14:N14" si="5">E12*E13</f>
        <v>0</v>
      </c>
      <c r="F14" s="1">
        <f t="shared" si="5"/>
        <v>0</v>
      </c>
      <c r="G14" s="1">
        <f t="shared" si="5"/>
        <v>0</v>
      </c>
      <c r="H14" s="1">
        <f t="shared" si="5"/>
        <v>-1000</v>
      </c>
      <c r="I14" s="1">
        <f t="shared" si="5"/>
        <v>0</v>
      </c>
      <c r="J14" s="1">
        <f t="shared" si="5"/>
        <v>0</v>
      </c>
      <c r="K14" s="1">
        <f t="shared" si="5"/>
        <v>0</v>
      </c>
      <c r="L14" s="1">
        <f t="shared" si="5"/>
        <v>0</v>
      </c>
      <c r="M14" s="1">
        <f t="shared" si="5"/>
        <v>200</v>
      </c>
      <c r="N14" s="1">
        <f t="shared" si="5"/>
        <v>200</v>
      </c>
    </row>
    <row r="15" spans="2:14" x14ac:dyDescent="0.25">
      <c r="B15" s="9" t="s">
        <v>295</v>
      </c>
      <c r="C15" t="s">
        <v>248</v>
      </c>
      <c r="D15" s="9" t="s">
        <v>328</v>
      </c>
      <c r="E15" s="1">
        <v>0</v>
      </c>
      <c r="F15" s="1">
        <f t="shared" ref="F15:N15" si="6">E18</f>
        <v>0</v>
      </c>
      <c r="G15" s="1">
        <f t="shared" si="6"/>
        <v>0</v>
      </c>
      <c r="H15" s="1">
        <f t="shared" si="6"/>
        <v>0</v>
      </c>
      <c r="I15" s="1">
        <f t="shared" si="6"/>
        <v>-1000</v>
      </c>
      <c r="J15" s="1">
        <f t="shared" si="6"/>
        <v>-1000</v>
      </c>
      <c r="K15" s="1">
        <f t="shared" si="6"/>
        <v>-1000</v>
      </c>
      <c r="L15" s="1">
        <f t="shared" si="6"/>
        <v>-1000</v>
      </c>
      <c r="M15" s="1">
        <f t="shared" si="6"/>
        <v>-1000</v>
      </c>
      <c r="N15" s="1">
        <f t="shared" si="6"/>
        <v>-800</v>
      </c>
    </row>
    <row r="16" spans="2:14" x14ac:dyDescent="0.25">
      <c r="B16" s="9" t="s">
        <v>296</v>
      </c>
      <c r="C16" t="s">
        <v>247</v>
      </c>
      <c r="D16" s="9" t="s">
        <v>329</v>
      </c>
      <c r="E16" s="1">
        <f t="shared" ref="E16:N16" si="7">IF(E14&lt;0,E14,0)</f>
        <v>0</v>
      </c>
      <c r="F16" s="1">
        <f t="shared" si="7"/>
        <v>0</v>
      </c>
      <c r="G16" s="1">
        <f t="shared" si="7"/>
        <v>0</v>
      </c>
      <c r="H16" s="1">
        <f t="shared" si="7"/>
        <v>-1000</v>
      </c>
      <c r="I16" s="1">
        <f t="shared" si="7"/>
        <v>0</v>
      </c>
      <c r="J16" s="1">
        <f t="shared" si="7"/>
        <v>0</v>
      </c>
      <c r="K16" s="1">
        <f t="shared" si="7"/>
        <v>0</v>
      </c>
      <c r="L16" s="1">
        <f t="shared" si="7"/>
        <v>0</v>
      </c>
      <c r="M16" s="1">
        <f t="shared" si="7"/>
        <v>0</v>
      </c>
      <c r="N16" s="1">
        <f t="shared" si="7"/>
        <v>0</v>
      </c>
    </row>
    <row r="17" spans="2:16" x14ac:dyDescent="0.25">
      <c r="B17" s="9" t="s">
        <v>297</v>
      </c>
      <c r="C17" t="s">
        <v>246</v>
      </c>
      <c r="D17" s="9" t="s">
        <v>330</v>
      </c>
      <c r="E17" s="1">
        <f t="shared" ref="E17:N17" si="8">IF(E14&gt;0,MIN(-E15,E14),0)</f>
        <v>0</v>
      </c>
      <c r="F17" s="1">
        <f t="shared" si="8"/>
        <v>0</v>
      </c>
      <c r="G17" s="1">
        <f t="shared" si="8"/>
        <v>0</v>
      </c>
      <c r="H17" s="1">
        <f t="shared" si="8"/>
        <v>0</v>
      </c>
      <c r="I17" s="1">
        <f t="shared" si="8"/>
        <v>0</v>
      </c>
      <c r="J17" s="1">
        <f t="shared" si="8"/>
        <v>0</v>
      </c>
      <c r="K17" s="1">
        <f t="shared" si="8"/>
        <v>0</v>
      </c>
      <c r="L17" s="1">
        <f t="shared" si="8"/>
        <v>0</v>
      </c>
      <c r="M17" s="1">
        <f t="shared" si="8"/>
        <v>200</v>
      </c>
      <c r="N17" s="1">
        <f t="shared" si="8"/>
        <v>200</v>
      </c>
    </row>
    <row r="18" spans="2:16" x14ac:dyDescent="0.25">
      <c r="B18" s="9" t="s">
        <v>298</v>
      </c>
      <c r="C18" t="s">
        <v>245</v>
      </c>
      <c r="D18" s="9" t="s">
        <v>331</v>
      </c>
      <c r="E18" s="1">
        <f t="shared" ref="E18:N18" si="9">E15+E16+E17</f>
        <v>0</v>
      </c>
      <c r="F18" s="1">
        <f t="shared" si="9"/>
        <v>0</v>
      </c>
      <c r="G18" s="1">
        <f t="shared" si="9"/>
        <v>0</v>
      </c>
      <c r="H18" s="1">
        <f t="shared" si="9"/>
        <v>-1000</v>
      </c>
      <c r="I18" s="1">
        <f t="shared" si="9"/>
        <v>-1000</v>
      </c>
      <c r="J18" s="1">
        <f t="shared" si="9"/>
        <v>-1000</v>
      </c>
      <c r="K18" s="1">
        <f t="shared" si="9"/>
        <v>-1000</v>
      </c>
      <c r="L18" s="1">
        <f t="shared" si="9"/>
        <v>-1000</v>
      </c>
      <c r="M18" s="1">
        <f t="shared" si="9"/>
        <v>-800</v>
      </c>
      <c r="N18" s="1">
        <f t="shared" si="9"/>
        <v>-600</v>
      </c>
    </row>
    <row r="19" spans="2:16" x14ac:dyDescent="0.25">
      <c r="B19" s="9" t="s">
        <v>299</v>
      </c>
      <c r="C19" t="s">
        <v>253</v>
      </c>
      <c r="D19" s="9" t="s">
        <v>332</v>
      </c>
      <c r="E19" s="1">
        <f t="shared" ref="E19:N19" si="10">IF(E14&gt;0,E14-E17,0)</f>
        <v>0</v>
      </c>
      <c r="F19" s="1">
        <f t="shared" si="10"/>
        <v>0</v>
      </c>
      <c r="G19" s="1">
        <f t="shared" si="10"/>
        <v>0</v>
      </c>
      <c r="H19" s="1">
        <f t="shared" si="10"/>
        <v>0</v>
      </c>
      <c r="I19" s="1">
        <f t="shared" si="10"/>
        <v>0</v>
      </c>
      <c r="J19" s="1">
        <f t="shared" si="10"/>
        <v>0</v>
      </c>
      <c r="K19" s="1">
        <f t="shared" si="10"/>
        <v>0</v>
      </c>
      <c r="L19" s="1">
        <f t="shared" si="10"/>
        <v>0</v>
      </c>
      <c r="M19" s="1">
        <f t="shared" si="10"/>
        <v>0</v>
      </c>
      <c r="N19" s="1">
        <f t="shared" si="10"/>
        <v>0</v>
      </c>
    </row>
    <row r="20" spans="2:16" x14ac:dyDescent="0.25">
      <c r="B20" s="9" t="s">
        <v>300</v>
      </c>
      <c r="C20" t="s">
        <v>277</v>
      </c>
      <c r="D20" s="9" t="s">
        <v>333</v>
      </c>
      <c r="E20" s="1">
        <f t="shared" ref="E20:N20" ca="1" si="11">E19*IF(E4="MAT",E2,E1)-E43</f>
        <v>0</v>
      </c>
      <c r="F20" s="1">
        <f t="shared" ca="1" si="11"/>
        <v>0</v>
      </c>
      <c r="G20" s="1">
        <f t="shared" ca="1" si="11"/>
        <v>0</v>
      </c>
      <c r="H20" s="1">
        <f t="shared" ca="1" si="11"/>
        <v>0</v>
      </c>
      <c r="I20" s="1">
        <f t="shared" ca="1" si="11"/>
        <v>0</v>
      </c>
      <c r="J20" s="1">
        <f t="shared" ca="1" si="11"/>
        <v>0</v>
      </c>
      <c r="K20" s="1">
        <f t="shared" ca="1" si="11"/>
        <v>0</v>
      </c>
      <c r="L20" s="1">
        <f t="shared" ca="1" si="11"/>
        <v>0</v>
      </c>
      <c r="M20" s="1">
        <f t="shared" ca="1" si="11"/>
        <v>0</v>
      </c>
      <c r="N20" s="1">
        <f t="shared" ca="1" si="11"/>
        <v>0</v>
      </c>
    </row>
    <row r="21" spans="2:16" x14ac:dyDescent="0.25">
      <c r="B21" s="9" t="s">
        <v>301</v>
      </c>
      <c r="C21" t="s">
        <v>251</v>
      </c>
      <c r="D21" s="9" t="s">
        <v>334</v>
      </c>
      <c r="E21" s="50">
        <f t="shared" ref="E21:N21" ca="1" si="12">IF(E20&gt;0,E20/E14,0)</f>
        <v>0</v>
      </c>
      <c r="F21" s="50">
        <f t="shared" ca="1" si="12"/>
        <v>0</v>
      </c>
      <c r="G21" s="50">
        <f t="shared" ca="1" si="12"/>
        <v>0</v>
      </c>
      <c r="H21" s="50">
        <f t="shared" ca="1" si="12"/>
        <v>0</v>
      </c>
      <c r="I21" s="50">
        <f t="shared" ca="1" si="12"/>
        <v>0</v>
      </c>
      <c r="J21" s="50">
        <f t="shared" ca="1" si="12"/>
        <v>0</v>
      </c>
      <c r="K21" s="50">
        <f t="shared" ca="1" si="12"/>
        <v>0</v>
      </c>
      <c r="L21" s="50">
        <f t="shared" ca="1" si="12"/>
        <v>0</v>
      </c>
      <c r="M21" s="50">
        <f t="shared" ca="1" si="12"/>
        <v>0</v>
      </c>
      <c r="N21" s="50">
        <f t="shared" ca="1" si="12"/>
        <v>0</v>
      </c>
    </row>
    <row r="22" spans="2:16" x14ac:dyDescent="0.25">
      <c r="E22" s="50"/>
      <c r="F22" s="50"/>
      <c r="G22" s="50"/>
      <c r="H22" s="50"/>
      <c r="I22" s="103"/>
      <c r="J22" s="103"/>
      <c r="K22" s="50"/>
      <c r="L22" s="50"/>
      <c r="M22" s="50"/>
      <c r="N22" s="50"/>
    </row>
    <row r="23" spans="2:16" x14ac:dyDescent="0.25">
      <c r="B23" s="9">
        <v>3</v>
      </c>
      <c r="C23" s="6" t="s">
        <v>250</v>
      </c>
      <c r="D23" s="10"/>
      <c r="E23" s="71"/>
      <c r="F23" s="71"/>
      <c r="G23" s="71"/>
      <c r="H23" s="71"/>
      <c r="I23" s="1"/>
      <c r="J23" s="1"/>
      <c r="L23" s="71"/>
      <c r="M23" s="71"/>
      <c r="N23" s="71"/>
      <c r="O23" s="71"/>
      <c r="P23" s="71"/>
    </row>
    <row r="24" spans="2:16" x14ac:dyDescent="0.25">
      <c r="B24" s="9" t="s">
        <v>305</v>
      </c>
      <c r="C24" t="s">
        <v>249</v>
      </c>
      <c r="D24" s="9" t="s">
        <v>335</v>
      </c>
      <c r="E24" s="1">
        <f t="shared" ref="E24:N24" ca="1" si="13">E8+E14</f>
        <v>193.74999999999997</v>
      </c>
      <c r="F24" s="1">
        <f t="shared" ca="1" si="13"/>
        <v>193.74999999999997</v>
      </c>
      <c r="G24" s="1">
        <f t="shared" ca="1" si="13"/>
        <v>193.74999999999997</v>
      </c>
      <c r="H24" s="1">
        <f t="shared" ca="1" si="13"/>
        <v>-778.57142857142856</v>
      </c>
      <c r="I24" s="1">
        <f t="shared" ca="1" si="13"/>
        <v>221.42857142857144</v>
      </c>
      <c r="J24" s="1">
        <f t="shared" ca="1" si="13"/>
        <v>221.42857142857144</v>
      </c>
      <c r="K24" s="1">
        <f t="shared" ca="1" si="13"/>
        <v>221.42857142857144</v>
      </c>
      <c r="L24" s="1">
        <f t="shared" ca="1" si="13"/>
        <v>221.42857142857144</v>
      </c>
      <c r="M24" s="1">
        <f t="shared" ca="1" si="13"/>
        <v>421.42857142857144</v>
      </c>
      <c r="N24" s="1">
        <f t="shared" ca="1" si="13"/>
        <v>421.42857142857144</v>
      </c>
    </row>
    <row r="25" spans="2:16" x14ac:dyDescent="0.25">
      <c r="B25" s="9" t="s">
        <v>306</v>
      </c>
      <c r="C25" t="s">
        <v>248</v>
      </c>
      <c r="D25" s="9" t="s">
        <v>336</v>
      </c>
      <c r="E25" s="1">
        <v>0</v>
      </c>
      <c r="F25" s="1">
        <f t="shared" ref="F25:N25" ca="1" si="14">E28</f>
        <v>0</v>
      </c>
      <c r="G25" s="1">
        <f t="shared" ca="1" si="14"/>
        <v>0</v>
      </c>
      <c r="H25" s="1">
        <f t="shared" ca="1" si="14"/>
        <v>0</v>
      </c>
      <c r="I25" s="1">
        <f t="shared" ca="1" si="14"/>
        <v>-778.57142857142856</v>
      </c>
      <c r="J25" s="1">
        <f t="shared" ca="1" si="14"/>
        <v>-557.14285714285711</v>
      </c>
      <c r="K25" s="1">
        <f t="shared" ca="1" si="14"/>
        <v>-335.71428571428567</v>
      </c>
      <c r="L25" s="1">
        <f t="shared" ca="1" si="14"/>
        <v>-114.28571428571422</v>
      </c>
      <c r="M25" s="1">
        <f t="shared" ca="1" si="14"/>
        <v>0</v>
      </c>
      <c r="N25" s="1">
        <f t="shared" ca="1" si="14"/>
        <v>0</v>
      </c>
    </row>
    <row r="26" spans="2:16" x14ac:dyDescent="0.25">
      <c r="B26" s="9" t="s">
        <v>307</v>
      </c>
      <c r="C26" t="s">
        <v>247</v>
      </c>
      <c r="D26" s="9" t="s">
        <v>337</v>
      </c>
      <c r="E26" s="1">
        <f t="shared" ref="E26:N26" ca="1" si="15">IF(E24&lt;0,E24,0)</f>
        <v>0</v>
      </c>
      <c r="F26" s="1">
        <f t="shared" ca="1" si="15"/>
        <v>0</v>
      </c>
      <c r="G26" s="1">
        <f t="shared" ca="1" si="15"/>
        <v>0</v>
      </c>
      <c r="H26" s="1">
        <f t="shared" ca="1" si="15"/>
        <v>-778.57142857142856</v>
      </c>
      <c r="I26" s="1">
        <f t="shared" ca="1" si="15"/>
        <v>0</v>
      </c>
      <c r="J26" s="1">
        <f t="shared" ca="1" si="15"/>
        <v>0</v>
      </c>
      <c r="K26" s="1">
        <f t="shared" ca="1" si="15"/>
        <v>0</v>
      </c>
      <c r="L26" s="1">
        <f t="shared" ca="1" si="15"/>
        <v>0</v>
      </c>
      <c r="M26" s="1">
        <f t="shared" ca="1" si="15"/>
        <v>0</v>
      </c>
      <c r="N26" s="1">
        <f t="shared" ca="1" si="15"/>
        <v>0</v>
      </c>
    </row>
    <row r="27" spans="2:16" x14ac:dyDescent="0.25">
      <c r="B27" s="9" t="s">
        <v>308</v>
      </c>
      <c r="C27" t="s">
        <v>246</v>
      </c>
      <c r="D27" s="9" t="s">
        <v>338</v>
      </c>
      <c r="E27" s="1">
        <f t="shared" ref="E27:N27" ca="1" si="16">IF(E24&gt;0,MIN(-E25,E24),0)</f>
        <v>0</v>
      </c>
      <c r="F27" s="1">
        <f t="shared" ca="1" si="16"/>
        <v>0</v>
      </c>
      <c r="G27" s="1">
        <f t="shared" ca="1" si="16"/>
        <v>0</v>
      </c>
      <c r="H27" s="1">
        <f t="shared" ca="1" si="16"/>
        <v>0</v>
      </c>
      <c r="I27" s="1">
        <f t="shared" ca="1" si="16"/>
        <v>221.42857142857144</v>
      </c>
      <c r="J27" s="1">
        <f t="shared" ca="1" si="16"/>
        <v>221.42857142857144</v>
      </c>
      <c r="K27" s="1">
        <f t="shared" ca="1" si="16"/>
        <v>221.42857142857144</v>
      </c>
      <c r="L27" s="1">
        <f t="shared" ca="1" si="16"/>
        <v>114.28571428571422</v>
      </c>
      <c r="M27" s="1">
        <f t="shared" ca="1" si="16"/>
        <v>0</v>
      </c>
      <c r="N27" s="1">
        <f t="shared" ca="1" si="16"/>
        <v>0</v>
      </c>
    </row>
    <row r="28" spans="2:16" x14ac:dyDescent="0.25">
      <c r="B28" s="9" t="s">
        <v>309</v>
      </c>
      <c r="C28" t="s">
        <v>245</v>
      </c>
      <c r="D28" s="9" t="s">
        <v>339</v>
      </c>
      <c r="E28" s="1">
        <f t="shared" ref="E28:N28" ca="1" si="17">E25+E26+E27</f>
        <v>0</v>
      </c>
      <c r="F28" s="1">
        <f t="shared" ca="1" si="17"/>
        <v>0</v>
      </c>
      <c r="G28" s="1">
        <f t="shared" ca="1" si="17"/>
        <v>0</v>
      </c>
      <c r="H28" s="1">
        <f t="shared" ca="1" si="17"/>
        <v>-778.57142857142856</v>
      </c>
      <c r="I28" s="1">
        <f t="shared" ca="1" si="17"/>
        <v>-557.14285714285711</v>
      </c>
      <c r="J28" s="1">
        <f t="shared" ca="1" si="17"/>
        <v>-335.71428571428567</v>
      </c>
      <c r="K28" s="1">
        <f t="shared" ca="1" si="17"/>
        <v>-114.28571428571422</v>
      </c>
      <c r="L28" s="1">
        <f t="shared" ca="1" si="17"/>
        <v>0</v>
      </c>
      <c r="M28" s="1">
        <f t="shared" ca="1" si="17"/>
        <v>0</v>
      </c>
      <c r="N28" s="1">
        <f t="shared" ca="1" si="17"/>
        <v>0</v>
      </c>
    </row>
    <row r="29" spans="2:16" x14ac:dyDescent="0.25">
      <c r="B29" s="9" t="s">
        <v>310</v>
      </c>
      <c r="C29" t="s">
        <v>265</v>
      </c>
      <c r="D29" s="9" t="s">
        <v>340</v>
      </c>
      <c r="E29" s="1">
        <f t="shared" ref="E29:N29" ca="1" si="18">IF(E24&gt;0,E24-E27,0)</f>
        <v>193.74999999999997</v>
      </c>
      <c r="F29" s="1">
        <f t="shared" ca="1" si="18"/>
        <v>193.74999999999997</v>
      </c>
      <c r="G29" s="1">
        <f t="shared" ca="1" si="18"/>
        <v>193.74999999999997</v>
      </c>
      <c r="H29" s="1">
        <f t="shared" ca="1" si="18"/>
        <v>0</v>
      </c>
      <c r="I29" s="1">
        <f t="shared" ca="1" si="18"/>
        <v>0</v>
      </c>
      <c r="J29" s="1">
        <f t="shared" ca="1" si="18"/>
        <v>0</v>
      </c>
      <c r="K29" s="1">
        <f t="shared" ca="1" si="18"/>
        <v>0</v>
      </c>
      <c r="L29" s="1">
        <f t="shared" ca="1" si="18"/>
        <v>107.14285714285722</v>
      </c>
      <c r="M29" s="1">
        <f t="shared" ca="1" si="18"/>
        <v>421.42857142857144</v>
      </c>
      <c r="N29" s="1">
        <f t="shared" ca="1" si="18"/>
        <v>421.42857142857144</v>
      </c>
    </row>
    <row r="30" spans="2:16" x14ac:dyDescent="0.25">
      <c r="B30" s="9" t="s">
        <v>311</v>
      </c>
      <c r="C30" t="s">
        <v>271</v>
      </c>
      <c r="D30" s="9" t="s">
        <v>341</v>
      </c>
      <c r="E30" s="1">
        <f t="shared" ref="E30:N30" si="19">IF(E3="No",(E29*E1),0)</f>
        <v>0</v>
      </c>
      <c r="F30" s="1">
        <f t="shared" si="19"/>
        <v>0</v>
      </c>
      <c r="G30" s="1">
        <f t="shared" si="19"/>
        <v>0</v>
      </c>
      <c r="H30" s="1">
        <f t="shared" ca="1" si="19"/>
        <v>0</v>
      </c>
      <c r="I30" s="1">
        <f t="shared" ca="1" si="19"/>
        <v>0</v>
      </c>
      <c r="J30" s="1">
        <f t="shared" ca="1" si="19"/>
        <v>0</v>
      </c>
      <c r="K30" s="1">
        <f t="shared" ca="1" si="19"/>
        <v>0</v>
      </c>
      <c r="L30" s="1">
        <f t="shared" ca="1" si="19"/>
        <v>32.142857142857167</v>
      </c>
      <c r="M30" s="1">
        <f t="shared" ca="1" si="19"/>
        <v>126.42857142857143</v>
      </c>
      <c r="N30" s="1">
        <f t="shared" ca="1" si="19"/>
        <v>126.42857142857143</v>
      </c>
    </row>
    <row r="31" spans="2:16" x14ac:dyDescent="0.25">
      <c r="B31" s="9" t="s">
        <v>312</v>
      </c>
      <c r="C31" t="s">
        <v>272</v>
      </c>
      <c r="D31" s="9" t="s">
        <v>342</v>
      </c>
      <c r="E31" s="1">
        <f t="shared" ref="E31:N31" ca="1" si="20">E29*E2</f>
        <v>38.75</v>
      </c>
      <c r="F31" s="1">
        <f t="shared" ca="1" si="20"/>
        <v>38.75</v>
      </c>
      <c r="G31" s="1">
        <f t="shared" ca="1" si="20"/>
        <v>38.75</v>
      </c>
      <c r="H31" s="1">
        <f t="shared" ca="1" si="20"/>
        <v>0</v>
      </c>
      <c r="I31" s="1">
        <f t="shared" ca="1" si="20"/>
        <v>0</v>
      </c>
      <c r="J31" s="1">
        <f t="shared" ca="1" si="20"/>
        <v>0</v>
      </c>
      <c r="K31" s="1">
        <f t="shared" ca="1" si="20"/>
        <v>0</v>
      </c>
      <c r="L31" s="1">
        <f t="shared" ca="1" si="20"/>
        <v>21.428571428571445</v>
      </c>
      <c r="M31" s="1">
        <f t="shared" ca="1" si="20"/>
        <v>84.285714285714292</v>
      </c>
      <c r="N31" s="1">
        <f t="shared" ca="1" si="20"/>
        <v>84.285714285714292</v>
      </c>
    </row>
    <row r="32" spans="2:16" x14ac:dyDescent="0.25">
      <c r="B32" s="9" t="s">
        <v>302</v>
      </c>
      <c r="C32" t="s">
        <v>242</v>
      </c>
      <c r="D32" s="9" t="s">
        <v>343</v>
      </c>
      <c r="E32" s="1">
        <f ca="1">MAX(E30:E31)</f>
        <v>38.75</v>
      </c>
      <c r="F32" s="1">
        <f t="shared" ref="F32:N32" ca="1" si="21">MAX(F30:F31)</f>
        <v>38.75</v>
      </c>
      <c r="G32" s="1">
        <f t="shared" ca="1" si="21"/>
        <v>38.75</v>
      </c>
      <c r="H32" s="1">
        <f t="shared" ca="1" si="21"/>
        <v>0</v>
      </c>
      <c r="I32" s="1">
        <f t="shared" ca="1" si="21"/>
        <v>0</v>
      </c>
      <c r="J32" s="1">
        <f t="shared" ca="1" si="21"/>
        <v>0</v>
      </c>
      <c r="K32" s="1">
        <f t="shared" ca="1" si="21"/>
        <v>0</v>
      </c>
      <c r="L32" s="1">
        <f t="shared" ca="1" si="21"/>
        <v>32.142857142857167</v>
      </c>
      <c r="M32" s="1">
        <f t="shared" ca="1" si="21"/>
        <v>126.42857142857143</v>
      </c>
      <c r="N32" s="1">
        <f t="shared" ca="1" si="21"/>
        <v>126.42857142857143</v>
      </c>
    </row>
    <row r="33" spans="2:14" x14ac:dyDescent="0.25">
      <c r="B33" s="9" t="s">
        <v>313</v>
      </c>
      <c r="C33" t="s">
        <v>276</v>
      </c>
      <c r="D33" s="9" t="s">
        <v>344</v>
      </c>
      <c r="E33" s="1">
        <f t="shared" ref="E33:N33" ca="1" si="22">E32-E40</f>
        <v>38.75</v>
      </c>
      <c r="F33" s="1">
        <f t="shared" ca="1" si="22"/>
        <v>38.75</v>
      </c>
      <c r="G33" s="1">
        <f t="shared" ca="1" si="22"/>
        <v>38.75</v>
      </c>
      <c r="H33" s="1">
        <f t="shared" ca="1" si="22"/>
        <v>0</v>
      </c>
      <c r="I33" s="1">
        <f t="shared" ca="1" si="22"/>
        <v>0</v>
      </c>
      <c r="J33" s="1">
        <f t="shared" ca="1" si="22"/>
        <v>0</v>
      </c>
      <c r="K33" s="1">
        <f t="shared" ca="1" si="22"/>
        <v>0</v>
      </c>
      <c r="L33" s="1">
        <f t="shared" ca="1" si="22"/>
        <v>10.714285714285722</v>
      </c>
      <c r="M33" s="1">
        <f t="shared" ca="1" si="22"/>
        <v>42.142857142857139</v>
      </c>
      <c r="N33" s="1">
        <f t="shared" ca="1" si="22"/>
        <v>115.89285714285717</v>
      </c>
    </row>
    <row r="34" spans="2:14" x14ac:dyDescent="0.25">
      <c r="B34" s="9" t="s">
        <v>314</v>
      </c>
      <c r="C34" s="6" t="s">
        <v>267</v>
      </c>
      <c r="D34" s="106" t="s">
        <v>345</v>
      </c>
      <c r="E34" s="78">
        <f t="shared" ref="E34:N34" ca="1" si="23">IF(E33&gt;0,E33/E24,0)</f>
        <v>0.20000000000000004</v>
      </c>
      <c r="F34" s="78">
        <f t="shared" ca="1" si="23"/>
        <v>0.20000000000000004</v>
      </c>
      <c r="G34" s="78">
        <f t="shared" ca="1" si="23"/>
        <v>0.20000000000000004</v>
      </c>
      <c r="H34" s="78">
        <f t="shared" ca="1" si="23"/>
        <v>0</v>
      </c>
      <c r="I34" s="78">
        <f t="shared" ca="1" si="23"/>
        <v>0</v>
      </c>
      <c r="J34" s="78">
        <f t="shared" ca="1" si="23"/>
        <v>0</v>
      </c>
      <c r="K34" s="78">
        <f t="shared" ca="1" si="23"/>
        <v>0</v>
      </c>
      <c r="L34" s="78">
        <f t="shared" ca="1" si="23"/>
        <v>4.8387096774193582E-2</v>
      </c>
      <c r="M34" s="78">
        <f t="shared" ca="1" si="23"/>
        <v>9.9999999999999992E-2</v>
      </c>
      <c r="N34" s="78">
        <f t="shared" ca="1" si="23"/>
        <v>0.27500000000000002</v>
      </c>
    </row>
    <row r="35" spans="2:14" x14ac:dyDescent="0.25">
      <c r="C35" s="6"/>
      <c r="D35" s="10"/>
      <c r="E35" s="78"/>
      <c r="F35" s="78"/>
      <c r="G35" s="78"/>
      <c r="H35" s="78"/>
      <c r="I35" s="78"/>
      <c r="J35" s="78"/>
      <c r="K35" s="78"/>
      <c r="L35" s="78"/>
      <c r="M35" s="78"/>
      <c r="N35" s="78"/>
    </row>
    <row r="36" spans="2:14" x14ac:dyDescent="0.25">
      <c r="B36" s="107">
        <v>4</v>
      </c>
      <c r="C36" s="105" t="s">
        <v>282</v>
      </c>
      <c r="D36" s="107"/>
      <c r="E36" s="101"/>
      <c r="F36" s="101"/>
      <c r="G36" s="101"/>
      <c r="H36" s="101"/>
      <c r="I36" s="101"/>
      <c r="J36" s="101"/>
      <c r="K36" s="101"/>
      <c r="L36" s="101"/>
      <c r="M36" s="101"/>
      <c r="N36" s="101"/>
    </row>
    <row r="37" spans="2:14" x14ac:dyDescent="0.25">
      <c r="B37" s="107" t="s">
        <v>317</v>
      </c>
      <c r="C37" s="101" t="s">
        <v>273</v>
      </c>
      <c r="D37" s="107" t="s">
        <v>321</v>
      </c>
      <c r="E37" s="101">
        <v>0</v>
      </c>
      <c r="F37" s="102">
        <f ca="1">E41</f>
        <v>38.75</v>
      </c>
      <c r="G37" s="102">
        <f t="shared" ref="G37:N37" ca="1" si="24">F41</f>
        <v>77.5</v>
      </c>
      <c r="H37" s="102">
        <f t="shared" ca="1" si="24"/>
        <v>116.25</v>
      </c>
      <c r="I37" s="102">
        <f t="shared" ca="1" si="24"/>
        <v>116.25</v>
      </c>
      <c r="J37" s="102">
        <f t="shared" ca="1" si="24"/>
        <v>116.25</v>
      </c>
      <c r="K37" s="102">
        <f t="shared" ca="1" si="24"/>
        <v>116.25</v>
      </c>
      <c r="L37" s="102">
        <f t="shared" ca="1" si="24"/>
        <v>116.25</v>
      </c>
      <c r="M37" s="102">
        <f t="shared" ca="1" si="24"/>
        <v>94.821428571428555</v>
      </c>
      <c r="N37" s="102">
        <f t="shared" ca="1" si="24"/>
        <v>10.535714285714263</v>
      </c>
    </row>
    <row r="38" spans="2:14" x14ac:dyDescent="0.25">
      <c r="B38" s="107" t="s">
        <v>318</v>
      </c>
      <c r="C38" s="101" t="s">
        <v>233</v>
      </c>
      <c r="D38" s="107" t="s">
        <v>346</v>
      </c>
      <c r="E38" s="102">
        <f t="shared" ref="E38:N38" ca="1" si="25">IF(E4="MAT",E31-E30,0)</f>
        <v>38.75</v>
      </c>
      <c r="F38" s="102">
        <f t="shared" ca="1" si="25"/>
        <v>38.75</v>
      </c>
      <c r="G38" s="102">
        <f t="shared" ca="1" si="25"/>
        <v>38.75</v>
      </c>
      <c r="H38" s="102">
        <f t="shared" ca="1" si="25"/>
        <v>0</v>
      </c>
      <c r="I38" s="102">
        <f t="shared" ca="1" si="25"/>
        <v>0</v>
      </c>
      <c r="J38" s="102">
        <f t="shared" ca="1" si="25"/>
        <v>0</v>
      </c>
      <c r="K38" s="102">
        <f t="shared" ca="1" si="25"/>
        <v>0</v>
      </c>
      <c r="L38" s="102">
        <f t="shared" ca="1" si="25"/>
        <v>0</v>
      </c>
      <c r="M38" s="102">
        <f t="shared" ca="1" si="25"/>
        <v>0</v>
      </c>
      <c r="N38" s="102">
        <f t="shared" ca="1" si="25"/>
        <v>0</v>
      </c>
    </row>
    <row r="39" spans="2:14" x14ac:dyDescent="0.25">
      <c r="B39" s="107" t="s">
        <v>319</v>
      </c>
      <c r="C39" s="101" t="s">
        <v>274</v>
      </c>
      <c r="D39" s="107" t="s">
        <v>347</v>
      </c>
      <c r="E39" s="102">
        <f ca="1">E37+E38</f>
        <v>38.75</v>
      </c>
      <c r="F39" s="102">
        <f t="shared" ref="F39:N39" ca="1" si="26">F37+F38</f>
        <v>77.5</v>
      </c>
      <c r="G39" s="102">
        <f t="shared" ca="1" si="26"/>
        <v>116.25</v>
      </c>
      <c r="H39" s="102">
        <f t="shared" ca="1" si="26"/>
        <v>116.25</v>
      </c>
      <c r="I39" s="102">
        <f t="shared" ca="1" si="26"/>
        <v>116.25</v>
      </c>
      <c r="J39" s="102">
        <f t="shared" ca="1" si="26"/>
        <v>116.25</v>
      </c>
      <c r="K39" s="102">
        <f t="shared" ca="1" si="26"/>
        <v>116.25</v>
      </c>
      <c r="L39" s="102">
        <f t="shared" ca="1" si="26"/>
        <v>116.25</v>
      </c>
      <c r="M39" s="102">
        <f t="shared" ca="1" si="26"/>
        <v>94.821428571428555</v>
      </c>
      <c r="N39" s="102">
        <f t="shared" ca="1" si="26"/>
        <v>10.535714285714263</v>
      </c>
    </row>
    <row r="40" spans="2:14" x14ac:dyDescent="0.25">
      <c r="B40" s="107" t="s">
        <v>320</v>
      </c>
      <c r="C40" s="101" t="s">
        <v>243</v>
      </c>
      <c r="D40" s="107" t="s">
        <v>348</v>
      </c>
      <c r="E40" s="102">
        <f t="shared" ref="E40:N40" ca="1" si="27">IF(E4="Normal",MIN(E39,E31),0)</f>
        <v>0</v>
      </c>
      <c r="F40" s="102">
        <f t="shared" ca="1" si="27"/>
        <v>0</v>
      </c>
      <c r="G40" s="102">
        <f t="shared" ca="1" si="27"/>
        <v>0</v>
      </c>
      <c r="H40" s="102">
        <f t="shared" ca="1" si="27"/>
        <v>0</v>
      </c>
      <c r="I40" s="102">
        <f t="shared" ca="1" si="27"/>
        <v>0</v>
      </c>
      <c r="J40" s="102">
        <f t="shared" ca="1" si="27"/>
        <v>0</v>
      </c>
      <c r="K40" s="102">
        <f t="shared" ca="1" si="27"/>
        <v>0</v>
      </c>
      <c r="L40" s="102">
        <f t="shared" ca="1" si="27"/>
        <v>21.428571428571445</v>
      </c>
      <c r="M40" s="102">
        <f t="shared" ca="1" si="27"/>
        <v>84.285714285714292</v>
      </c>
      <c r="N40" s="102">
        <f t="shared" ca="1" si="27"/>
        <v>10.535714285714263</v>
      </c>
    </row>
    <row r="41" spans="2:14" x14ac:dyDescent="0.25">
      <c r="B41" s="107" t="s">
        <v>321</v>
      </c>
      <c r="C41" s="101" t="s">
        <v>275</v>
      </c>
      <c r="D41" s="107" t="s">
        <v>349</v>
      </c>
      <c r="E41" s="102">
        <f ca="1">E39-E40</f>
        <v>38.75</v>
      </c>
      <c r="F41" s="102">
        <f t="shared" ref="F41:N41" ca="1" si="28">F39-F40</f>
        <v>77.5</v>
      </c>
      <c r="G41" s="102">
        <f t="shared" ca="1" si="28"/>
        <v>116.25</v>
      </c>
      <c r="H41" s="102">
        <f t="shared" ca="1" si="28"/>
        <v>116.25</v>
      </c>
      <c r="I41" s="102">
        <f t="shared" ca="1" si="28"/>
        <v>116.25</v>
      </c>
      <c r="J41" s="102">
        <f t="shared" ca="1" si="28"/>
        <v>116.25</v>
      </c>
      <c r="K41" s="102">
        <f t="shared" ca="1" si="28"/>
        <v>116.25</v>
      </c>
      <c r="L41" s="102">
        <f t="shared" ca="1" si="28"/>
        <v>94.821428571428555</v>
      </c>
      <c r="M41" s="102">
        <f t="shared" ca="1" si="28"/>
        <v>10.535714285714263</v>
      </c>
      <c r="N41" s="102">
        <f t="shared" ca="1" si="28"/>
        <v>0</v>
      </c>
    </row>
    <row r="42" spans="2:14" x14ac:dyDescent="0.25">
      <c r="B42" s="107" t="s">
        <v>322</v>
      </c>
      <c r="C42" s="100" t="s">
        <v>283</v>
      </c>
      <c r="D42" s="108" t="s">
        <v>350</v>
      </c>
      <c r="E42" s="102">
        <f t="shared" ref="E42:N42" ca="1" si="29">E40*E8/E24</f>
        <v>0</v>
      </c>
      <c r="F42" s="102">
        <f t="shared" ca="1" si="29"/>
        <v>0</v>
      </c>
      <c r="G42" s="102">
        <f t="shared" ca="1" si="29"/>
        <v>0</v>
      </c>
      <c r="H42" s="102">
        <f t="shared" ca="1" si="29"/>
        <v>0</v>
      </c>
      <c r="I42" s="102">
        <f t="shared" ca="1" si="29"/>
        <v>0</v>
      </c>
      <c r="J42" s="102">
        <f t="shared" ca="1" si="29"/>
        <v>0</v>
      </c>
      <c r="K42" s="102">
        <f t="shared" ca="1" si="29"/>
        <v>0</v>
      </c>
      <c r="L42" s="102">
        <f t="shared" ca="1" si="29"/>
        <v>21.428571428571448</v>
      </c>
      <c r="M42" s="102">
        <f t="shared" ca="1" si="29"/>
        <v>44.285714285714292</v>
      </c>
      <c r="N42" s="102">
        <f t="shared" ca="1" si="29"/>
        <v>5.5357142857142749</v>
      </c>
    </row>
    <row r="43" spans="2:14" x14ac:dyDescent="0.25">
      <c r="B43" s="107" t="s">
        <v>323</v>
      </c>
      <c r="C43" s="100" t="s">
        <v>284</v>
      </c>
      <c r="D43" s="108" t="s">
        <v>351</v>
      </c>
      <c r="E43" s="102">
        <f ca="1">E40*E19/E24</f>
        <v>0</v>
      </c>
      <c r="F43" s="102">
        <f t="shared" ref="F43:N43" ca="1" si="30">F40*F19/F24</f>
        <v>0</v>
      </c>
      <c r="G43" s="102">
        <f t="shared" ca="1" si="30"/>
        <v>0</v>
      </c>
      <c r="H43" s="102">
        <f t="shared" ca="1" si="30"/>
        <v>0</v>
      </c>
      <c r="I43" s="102">
        <f t="shared" ca="1" si="30"/>
        <v>0</v>
      </c>
      <c r="J43" s="102">
        <f t="shared" ca="1" si="30"/>
        <v>0</v>
      </c>
      <c r="K43" s="102">
        <f t="shared" ca="1" si="30"/>
        <v>0</v>
      </c>
      <c r="L43" s="102">
        <f t="shared" ca="1" si="30"/>
        <v>0</v>
      </c>
      <c r="M43" s="102">
        <f t="shared" ca="1" si="30"/>
        <v>0</v>
      </c>
      <c r="N43" s="102">
        <f t="shared" ca="1" si="30"/>
        <v>0</v>
      </c>
    </row>
    <row r="44" spans="2:14" hidden="1" x14ac:dyDescent="0.25">
      <c r="E44" s="50"/>
      <c r="F44" s="50"/>
      <c r="G44" s="50"/>
      <c r="H44" s="50"/>
      <c r="I44" s="50"/>
      <c r="J44" s="50"/>
      <c r="K44" s="103"/>
      <c r="L44" s="50"/>
      <c r="M44" s="50"/>
      <c r="N44" s="50"/>
    </row>
    <row r="45" spans="2:14" hidden="1" x14ac:dyDescent="0.25">
      <c r="E45" s="1"/>
      <c r="F45" s="1"/>
      <c r="G45" s="1"/>
      <c r="H45" s="1"/>
      <c r="I45" s="1"/>
      <c r="J45" s="1"/>
      <c r="K45" s="1"/>
      <c r="L45" s="1"/>
      <c r="M45" s="1"/>
      <c r="N45" s="1"/>
    </row>
    <row r="46" spans="2:14" x14ac:dyDescent="0.25">
      <c r="C46" s="6" t="s">
        <v>279</v>
      </c>
      <c r="E46" s="9"/>
      <c r="F46" s="9"/>
      <c r="G46" s="9"/>
      <c r="H46" s="9"/>
      <c r="I46" s="9"/>
      <c r="J46" s="9"/>
      <c r="K46" s="9"/>
      <c r="L46" s="9"/>
      <c r="M46" s="9"/>
      <c r="N46" s="9"/>
    </row>
    <row r="47" spans="2:14" x14ac:dyDescent="0.25">
      <c r="C47" t="s">
        <v>388</v>
      </c>
      <c r="D47" s="9" t="s">
        <v>352</v>
      </c>
      <c r="E47" s="50">
        <f t="shared" ref="E47:N47" ca="1" si="31">E34</f>
        <v>0.20000000000000004</v>
      </c>
      <c r="F47" s="50">
        <f t="shared" ca="1" si="31"/>
        <v>0.20000000000000004</v>
      </c>
      <c r="G47" s="50">
        <f t="shared" ca="1" si="31"/>
        <v>0.20000000000000004</v>
      </c>
      <c r="H47" s="50">
        <f t="shared" ca="1" si="31"/>
        <v>0</v>
      </c>
      <c r="I47" s="50">
        <f t="shared" ca="1" si="31"/>
        <v>0</v>
      </c>
      <c r="J47" s="50">
        <f t="shared" ca="1" si="31"/>
        <v>0</v>
      </c>
      <c r="K47" s="50">
        <f t="shared" ca="1" si="31"/>
        <v>0</v>
      </c>
      <c r="L47" s="50">
        <f t="shared" ca="1" si="31"/>
        <v>4.8387096774193582E-2</v>
      </c>
      <c r="M47" s="50">
        <f t="shared" ca="1" si="31"/>
        <v>9.9999999999999992E-2</v>
      </c>
      <c r="N47" s="50">
        <f t="shared" ca="1" si="31"/>
        <v>0.27500000000000002</v>
      </c>
    </row>
    <row r="48" spans="2:14" x14ac:dyDescent="0.25">
      <c r="C48" t="s">
        <v>281</v>
      </c>
      <c r="D48" s="9" t="s">
        <v>353</v>
      </c>
      <c r="E48" s="50">
        <f t="shared" ref="E48:N48" ca="1" si="32">E21</f>
        <v>0</v>
      </c>
      <c r="F48" s="50">
        <f t="shared" ca="1" si="32"/>
        <v>0</v>
      </c>
      <c r="G48" s="50">
        <f t="shared" ca="1" si="32"/>
        <v>0</v>
      </c>
      <c r="H48" s="50">
        <f t="shared" ca="1" si="32"/>
        <v>0</v>
      </c>
      <c r="I48" s="50">
        <f t="shared" ca="1" si="32"/>
        <v>0</v>
      </c>
      <c r="J48" s="50">
        <f t="shared" ca="1" si="32"/>
        <v>0</v>
      </c>
      <c r="K48" s="50">
        <f t="shared" ca="1" si="32"/>
        <v>0</v>
      </c>
      <c r="L48" s="50">
        <f t="shared" ca="1" si="32"/>
        <v>0</v>
      </c>
      <c r="M48" s="50">
        <f t="shared" ca="1" si="32"/>
        <v>0</v>
      </c>
      <c r="N48" s="50">
        <f t="shared" ca="1" si="32"/>
        <v>0</v>
      </c>
    </row>
    <row r="49" spans="3:14" x14ac:dyDescent="0.25">
      <c r="C49" t="s">
        <v>280</v>
      </c>
      <c r="D49" s="9" t="s">
        <v>354</v>
      </c>
      <c r="E49" s="50">
        <f t="shared" ref="E49:N49" ca="1" si="33">E10</f>
        <v>0.20000000000000004</v>
      </c>
      <c r="F49" s="50">
        <f t="shared" ca="1" si="33"/>
        <v>0.20000000000000004</v>
      </c>
      <c r="G49" s="50">
        <f t="shared" ca="1" si="33"/>
        <v>0.20000000000000004</v>
      </c>
      <c r="H49" s="50">
        <f t="shared" ca="1" si="33"/>
        <v>0.3</v>
      </c>
      <c r="I49" s="50">
        <f t="shared" ca="1" si="33"/>
        <v>0.3</v>
      </c>
      <c r="J49" s="50">
        <f t="shared" ca="1" si="33"/>
        <v>0.3</v>
      </c>
      <c r="K49" s="50">
        <f t="shared" ca="1" si="33"/>
        <v>0.3</v>
      </c>
      <c r="L49" s="50">
        <f t="shared" ca="1" si="33"/>
        <v>0.20322580645161281</v>
      </c>
      <c r="M49" s="50">
        <f t="shared" ca="1" si="33"/>
        <v>9.9999999999999978E-2</v>
      </c>
      <c r="N49" s="50">
        <f t="shared" ca="1" si="33"/>
        <v>0.27500000000000002</v>
      </c>
    </row>
    <row r="50" spans="3:14" x14ac:dyDescent="0.25">
      <c r="E50" s="71"/>
      <c r="F50" s="71"/>
      <c r="G50" s="71"/>
      <c r="H50" s="71"/>
      <c r="I50" s="71"/>
      <c r="J50" s="71"/>
      <c r="K50" s="71"/>
      <c r="L50" s="71"/>
      <c r="M50" s="71"/>
      <c r="N50" s="7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16"/>
  <sheetViews>
    <sheetView workbookViewId="0">
      <selection activeCell="H13" sqref="H13"/>
    </sheetView>
  </sheetViews>
  <sheetFormatPr defaultRowHeight="15" x14ac:dyDescent="0.25"/>
  <cols>
    <col min="3" max="3" width="11.140625" bestFit="1" customWidth="1"/>
    <col min="7" max="7" width="11" bestFit="1" customWidth="1"/>
    <col min="8" max="8" width="11.85546875" bestFit="1" customWidth="1"/>
    <col min="9" max="9" width="12.5703125" bestFit="1" customWidth="1"/>
    <col min="10" max="13" width="11" customWidth="1"/>
    <col min="14" max="15" width="11.28515625" customWidth="1"/>
    <col min="16" max="16" width="5.5703125" bestFit="1" customWidth="1"/>
  </cols>
  <sheetData>
    <row r="2" spans="3:18" x14ac:dyDescent="0.25">
      <c r="C2" t="s">
        <v>454</v>
      </c>
      <c r="D2" t="s">
        <v>455</v>
      </c>
      <c r="E2" s="99">
        <v>0.3</v>
      </c>
      <c r="F2" s="99"/>
      <c r="G2" t="s">
        <v>476</v>
      </c>
    </row>
    <row r="3" spans="3:18" x14ac:dyDescent="0.25">
      <c r="C3" t="s">
        <v>456</v>
      </c>
      <c r="D3" t="s">
        <v>457</v>
      </c>
      <c r="G3" t="s">
        <v>477</v>
      </c>
    </row>
    <row r="4" spans="3:18" x14ac:dyDescent="0.25">
      <c r="G4" t="s">
        <v>478</v>
      </c>
    </row>
    <row r="5" spans="3:18" ht="60" x14ac:dyDescent="0.25">
      <c r="C5" s="118"/>
      <c r="D5" s="153" t="s">
        <v>463</v>
      </c>
      <c r="E5" s="153"/>
      <c r="F5" s="118"/>
      <c r="G5" s="118" t="s">
        <v>464</v>
      </c>
      <c r="H5" s="154" t="s">
        <v>479</v>
      </c>
      <c r="I5" s="153"/>
      <c r="J5" s="119" t="s">
        <v>462</v>
      </c>
      <c r="K5" s="119" t="s">
        <v>465</v>
      </c>
      <c r="L5" s="119" t="s">
        <v>468</v>
      </c>
      <c r="M5" s="119" t="s">
        <v>470</v>
      </c>
      <c r="N5" s="119" t="s">
        <v>475</v>
      </c>
      <c r="O5" s="119" t="s">
        <v>471</v>
      </c>
      <c r="P5" s="120"/>
      <c r="Q5" s="118"/>
      <c r="R5" s="118"/>
    </row>
    <row r="6" spans="3:18" x14ac:dyDescent="0.25">
      <c r="D6" t="s">
        <v>458</v>
      </c>
      <c r="E6" t="s">
        <v>459</v>
      </c>
      <c r="F6" t="s">
        <v>248</v>
      </c>
      <c r="G6" t="s">
        <v>460</v>
      </c>
      <c r="H6" t="s">
        <v>461</v>
      </c>
      <c r="I6" t="s">
        <v>469</v>
      </c>
      <c r="N6">
        <v>0</v>
      </c>
    </row>
    <row r="7" spans="3:18" x14ac:dyDescent="0.25">
      <c r="C7" t="s">
        <v>392</v>
      </c>
      <c r="D7">
        <v>30</v>
      </c>
      <c r="E7">
        <v>-200</v>
      </c>
      <c r="F7">
        <v>0</v>
      </c>
      <c r="G7">
        <f>D7+E7+F7</f>
        <v>-170</v>
      </c>
      <c r="H7">
        <f>D7*$E$2</f>
        <v>9</v>
      </c>
      <c r="I7">
        <f>IF((E7+F7)*$E$2&lt;0,0,(E7+F7)*$E$2)</f>
        <v>0</v>
      </c>
      <c r="J7">
        <f>IF(G7&gt;0,G7*$E$2,0)</f>
        <v>0</v>
      </c>
      <c r="K7" s="50">
        <f>J7/G7</f>
        <v>0</v>
      </c>
      <c r="L7" s="1">
        <f>(D7*$E$2-D7*K7)</f>
        <v>9</v>
      </c>
      <c r="M7">
        <f t="shared" ref="M7:M16" si="0">IF((AND((N6&gt;0),((E7+F7)&gt;0))),MIN(N6,(E7+F7)),0)</f>
        <v>0</v>
      </c>
      <c r="N7" s="1">
        <f>L7-M7</f>
        <v>9</v>
      </c>
      <c r="O7" s="50">
        <f t="shared" ref="O7:O16" si="1">IF(K7=0,0,(J7+M7)/G7)</f>
        <v>0</v>
      </c>
      <c r="P7" s="1">
        <f t="shared" ref="P7:P16" si="2">D7*O7</f>
        <v>0</v>
      </c>
      <c r="Q7" s="1">
        <f>D7*30%</f>
        <v>9</v>
      </c>
    </row>
    <row r="8" spans="3:18" x14ac:dyDescent="0.25">
      <c r="C8" t="s">
        <v>393</v>
      </c>
      <c r="D8">
        <v>30</v>
      </c>
      <c r="E8">
        <v>-10</v>
      </c>
      <c r="F8">
        <f>IF(G7&lt;0,G7,0)</f>
        <v>-170</v>
      </c>
      <c r="G8">
        <f>D8+E8+F8</f>
        <v>-150</v>
      </c>
      <c r="H8">
        <f>D8*$E$2</f>
        <v>9</v>
      </c>
      <c r="I8">
        <f t="shared" ref="I8:I9" si="3">IF((E8+F8)*$E$2&lt;0,0,(E8+F8)*$E$2)</f>
        <v>0</v>
      </c>
      <c r="J8">
        <f>IF(G8&gt;0,G8*$E$2,0)</f>
        <v>0</v>
      </c>
      <c r="K8" s="50">
        <f t="shared" ref="K8:K11" si="4">J8/G8</f>
        <v>0</v>
      </c>
      <c r="L8" s="1">
        <f>(D8*$E$2-D8*K8)</f>
        <v>9</v>
      </c>
      <c r="M8">
        <f t="shared" si="0"/>
        <v>0</v>
      </c>
      <c r="N8" s="1">
        <f t="shared" ref="N8:N16" si="5">N7+L8-M8</f>
        <v>18</v>
      </c>
      <c r="O8" s="50">
        <f t="shared" si="1"/>
        <v>0</v>
      </c>
      <c r="P8" s="1">
        <f t="shared" si="2"/>
        <v>0</v>
      </c>
      <c r="Q8" s="1">
        <f t="shared" ref="Q8:Q13" si="6">D8*30%</f>
        <v>9</v>
      </c>
    </row>
    <row r="9" spans="3:18" x14ac:dyDescent="0.25">
      <c r="C9" t="s">
        <v>394</v>
      </c>
      <c r="D9">
        <v>30</v>
      </c>
      <c r="E9">
        <v>-15</v>
      </c>
      <c r="F9">
        <f t="shared" ref="F9:F16" si="7">IF(G8&lt;0,G8,0)</f>
        <v>-150</v>
      </c>
      <c r="G9">
        <f>D9+E9+F9</f>
        <v>-135</v>
      </c>
      <c r="H9">
        <f>D9*$E$2</f>
        <v>9</v>
      </c>
      <c r="I9">
        <f t="shared" si="3"/>
        <v>0</v>
      </c>
      <c r="J9">
        <f>IF(G9&gt;0,G9*$E$2,0)</f>
        <v>0</v>
      </c>
      <c r="K9" s="50">
        <f t="shared" si="4"/>
        <v>0</v>
      </c>
      <c r="L9" s="1">
        <f t="shared" ref="L9:L13" si="8">(D9*$E$2-D9*K9)</f>
        <v>9</v>
      </c>
      <c r="M9">
        <f t="shared" si="0"/>
        <v>0</v>
      </c>
      <c r="N9" s="1">
        <f t="shared" si="5"/>
        <v>27</v>
      </c>
      <c r="O9" s="50">
        <f t="shared" si="1"/>
        <v>0</v>
      </c>
      <c r="P9" s="1">
        <f t="shared" si="2"/>
        <v>0</v>
      </c>
      <c r="Q9" s="1">
        <f t="shared" si="6"/>
        <v>9</v>
      </c>
    </row>
    <row r="10" spans="3:18" x14ac:dyDescent="0.25">
      <c r="C10" t="s">
        <v>395</v>
      </c>
      <c r="D10">
        <v>30</v>
      </c>
      <c r="E10">
        <v>12</v>
      </c>
      <c r="F10">
        <f t="shared" si="7"/>
        <v>-135</v>
      </c>
      <c r="G10">
        <f>D10+E10+F10</f>
        <v>-93</v>
      </c>
      <c r="H10">
        <f>D10*$E$2</f>
        <v>9</v>
      </c>
      <c r="I10">
        <f t="shared" ref="I10" si="9">IF((E10+F10)*$E$2&lt;0,0,(E10+F10)*$E$2)</f>
        <v>0</v>
      </c>
      <c r="J10">
        <f>IF(G10&gt;0,G10*$E$2,0)</f>
        <v>0</v>
      </c>
      <c r="K10" s="50">
        <f t="shared" si="4"/>
        <v>0</v>
      </c>
      <c r="L10" s="1">
        <f t="shared" si="8"/>
        <v>9</v>
      </c>
      <c r="M10">
        <f t="shared" si="0"/>
        <v>0</v>
      </c>
      <c r="N10" s="1">
        <f t="shared" si="5"/>
        <v>36</v>
      </c>
      <c r="O10" s="50">
        <f t="shared" si="1"/>
        <v>0</v>
      </c>
      <c r="P10" s="1">
        <f t="shared" si="2"/>
        <v>0</v>
      </c>
      <c r="Q10" s="1">
        <f t="shared" si="6"/>
        <v>9</v>
      </c>
    </row>
    <row r="11" spans="3:18" x14ac:dyDescent="0.25">
      <c r="C11" t="s">
        <v>396</v>
      </c>
      <c r="D11">
        <v>30</v>
      </c>
      <c r="E11">
        <v>15</v>
      </c>
      <c r="F11">
        <f t="shared" si="7"/>
        <v>-93</v>
      </c>
      <c r="G11">
        <f>D11+E11+F11</f>
        <v>-48</v>
      </c>
      <c r="H11">
        <f>D11*$E$2</f>
        <v>9</v>
      </c>
      <c r="I11">
        <f t="shared" ref="I11" si="10">IF((E11+F11)*$E$2&lt;0,0,(E11+F11)*$E$2)</f>
        <v>0</v>
      </c>
      <c r="J11">
        <f>IF(G11&gt;0,G11*$E$2,0)</f>
        <v>0</v>
      </c>
      <c r="K11" s="50">
        <f t="shared" si="4"/>
        <v>0</v>
      </c>
      <c r="L11" s="1">
        <f t="shared" si="8"/>
        <v>9</v>
      </c>
      <c r="M11">
        <f t="shared" si="0"/>
        <v>0</v>
      </c>
      <c r="N11" s="1">
        <f t="shared" si="5"/>
        <v>45</v>
      </c>
      <c r="O11" s="50">
        <f t="shared" si="1"/>
        <v>0</v>
      </c>
      <c r="P11" s="1">
        <f t="shared" si="2"/>
        <v>0</v>
      </c>
      <c r="Q11" s="1">
        <f t="shared" si="6"/>
        <v>9</v>
      </c>
    </row>
    <row r="12" spans="3:18" x14ac:dyDescent="0.25">
      <c r="C12" t="s">
        <v>466</v>
      </c>
      <c r="D12">
        <v>30</v>
      </c>
      <c r="E12">
        <v>10</v>
      </c>
      <c r="F12">
        <f t="shared" si="7"/>
        <v>-48</v>
      </c>
      <c r="G12">
        <f t="shared" ref="G12:G13" si="11">D12+E12+F12</f>
        <v>-8</v>
      </c>
      <c r="H12">
        <f t="shared" ref="H12:H13" si="12">D12*$E$2</f>
        <v>9</v>
      </c>
      <c r="I12">
        <f t="shared" ref="I12:I13" si="13">IF((E12+F12)*$E$2&lt;0,0,(E12+F12)*$E$2)</f>
        <v>0</v>
      </c>
      <c r="J12">
        <f t="shared" ref="J12:J13" si="14">IF(G12&gt;0,G12*$E$2,0)</f>
        <v>0</v>
      </c>
      <c r="K12" s="50">
        <f t="shared" ref="K12:K13" si="15">J12/G12</f>
        <v>0</v>
      </c>
      <c r="L12" s="1">
        <f t="shared" si="8"/>
        <v>9</v>
      </c>
      <c r="M12">
        <f t="shared" si="0"/>
        <v>0</v>
      </c>
      <c r="N12" s="1">
        <f t="shared" si="5"/>
        <v>54</v>
      </c>
      <c r="O12" s="50">
        <f t="shared" si="1"/>
        <v>0</v>
      </c>
      <c r="P12" s="1">
        <f t="shared" si="2"/>
        <v>0</v>
      </c>
      <c r="Q12" s="1">
        <f t="shared" si="6"/>
        <v>9</v>
      </c>
    </row>
    <row r="13" spans="3:18" x14ac:dyDescent="0.25">
      <c r="C13" t="s">
        <v>467</v>
      </c>
      <c r="D13">
        <v>30</v>
      </c>
      <c r="E13">
        <v>20</v>
      </c>
      <c r="F13">
        <f t="shared" si="7"/>
        <v>-8</v>
      </c>
      <c r="G13">
        <f t="shared" si="11"/>
        <v>42</v>
      </c>
      <c r="H13">
        <f t="shared" si="12"/>
        <v>9</v>
      </c>
      <c r="I13">
        <f t="shared" si="13"/>
        <v>3.5999999999999996</v>
      </c>
      <c r="J13">
        <f t="shared" si="14"/>
        <v>12.6</v>
      </c>
      <c r="K13" s="50">
        <f t="shared" si="15"/>
        <v>0.3</v>
      </c>
      <c r="L13" s="1">
        <f t="shared" si="8"/>
        <v>0</v>
      </c>
      <c r="M13">
        <f t="shared" si="0"/>
        <v>12</v>
      </c>
      <c r="N13" s="1">
        <f t="shared" si="5"/>
        <v>42</v>
      </c>
      <c r="O13" s="50">
        <f t="shared" si="1"/>
        <v>0.58571428571428574</v>
      </c>
      <c r="P13" s="1">
        <f t="shared" si="2"/>
        <v>17.571428571428573</v>
      </c>
      <c r="Q13" s="1">
        <f t="shared" si="6"/>
        <v>9</v>
      </c>
    </row>
    <row r="14" spans="3:18" x14ac:dyDescent="0.25">
      <c r="C14" t="s">
        <v>472</v>
      </c>
      <c r="D14">
        <v>30</v>
      </c>
      <c r="E14">
        <v>25</v>
      </c>
      <c r="F14">
        <f t="shared" si="7"/>
        <v>0</v>
      </c>
      <c r="G14">
        <f t="shared" ref="G14:G16" si="16">D14+E14+F14</f>
        <v>55</v>
      </c>
      <c r="H14">
        <f t="shared" ref="H14:H16" si="17">D14*$E$2</f>
        <v>9</v>
      </c>
      <c r="I14">
        <f t="shared" ref="I14:I16" si="18">IF((E14+F14)*$E$2&lt;0,0,(E14+F14)*$E$2)</f>
        <v>7.5</v>
      </c>
      <c r="J14">
        <f t="shared" ref="J14:J16" si="19">IF(G14&gt;0,G14*$E$2,0)</f>
        <v>16.5</v>
      </c>
      <c r="K14" s="50">
        <f t="shared" ref="K14:K16" si="20">J14/G14</f>
        <v>0.3</v>
      </c>
      <c r="L14" s="1">
        <f t="shared" ref="L14:L16" si="21">(D14*$E$2-D14*K14)</f>
        <v>0</v>
      </c>
      <c r="M14">
        <f t="shared" si="0"/>
        <v>25</v>
      </c>
      <c r="N14" s="1">
        <f t="shared" si="5"/>
        <v>17</v>
      </c>
      <c r="O14" s="50">
        <f t="shared" si="1"/>
        <v>0.75454545454545452</v>
      </c>
      <c r="P14" s="1">
        <f t="shared" si="2"/>
        <v>22.636363636363637</v>
      </c>
      <c r="Q14" s="1">
        <f t="shared" ref="Q14:Q16" si="22">D14*30%</f>
        <v>9</v>
      </c>
    </row>
    <row r="15" spans="3:18" x14ac:dyDescent="0.25">
      <c r="C15" t="s">
        <v>473</v>
      </c>
      <c r="D15">
        <v>30</v>
      </c>
      <c r="E15">
        <v>25</v>
      </c>
      <c r="F15">
        <f t="shared" si="7"/>
        <v>0</v>
      </c>
      <c r="G15">
        <f t="shared" si="16"/>
        <v>55</v>
      </c>
      <c r="H15">
        <f t="shared" si="17"/>
        <v>9</v>
      </c>
      <c r="I15">
        <f t="shared" si="18"/>
        <v>7.5</v>
      </c>
      <c r="J15">
        <f t="shared" si="19"/>
        <v>16.5</v>
      </c>
      <c r="K15" s="50">
        <f t="shared" si="20"/>
        <v>0.3</v>
      </c>
      <c r="L15" s="1">
        <f t="shared" si="21"/>
        <v>0</v>
      </c>
      <c r="M15">
        <f t="shared" si="0"/>
        <v>17</v>
      </c>
      <c r="N15" s="1">
        <f t="shared" si="5"/>
        <v>0</v>
      </c>
      <c r="O15" s="50">
        <f t="shared" si="1"/>
        <v>0.60909090909090913</v>
      </c>
      <c r="P15" s="1">
        <f t="shared" si="2"/>
        <v>18.272727272727273</v>
      </c>
      <c r="Q15" s="1">
        <f t="shared" si="22"/>
        <v>9</v>
      </c>
    </row>
    <row r="16" spans="3:18" x14ac:dyDescent="0.25">
      <c r="C16" t="s">
        <v>474</v>
      </c>
      <c r="D16">
        <v>30</v>
      </c>
      <c r="E16">
        <v>30</v>
      </c>
      <c r="F16">
        <f t="shared" si="7"/>
        <v>0</v>
      </c>
      <c r="G16">
        <f t="shared" si="16"/>
        <v>60</v>
      </c>
      <c r="H16">
        <f t="shared" si="17"/>
        <v>9</v>
      </c>
      <c r="I16">
        <f t="shared" si="18"/>
        <v>9</v>
      </c>
      <c r="J16">
        <f t="shared" si="19"/>
        <v>18</v>
      </c>
      <c r="K16" s="50">
        <f t="shared" si="20"/>
        <v>0.3</v>
      </c>
      <c r="L16" s="1">
        <f t="shared" si="21"/>
        <v>0</v>
      </c>
      <c r="M16">
        <f t="shared" si="0"/>
        <v>0</v>
      </c>
      <c r="N16" s="1">
        <f t="shared" si="5"/>
        <v>0</v>
      </c>
      <c r="O16" s="50">
        <f t="shared" si="1"/>
        <v>0.3</v>
      </c>
      <c r="P16" s="1">
        <f t="shared" si="2"/>
        <v>9</v>
      </c>
      <c r="Q16" s="1">
        <f t="shared" si="22"/>
        <v>9</v>
      </c>
    </row>
  </sheetData>
  <mergeCells count="2">
    <mergeCell ref="D5:E5"/>
    <mergeCell ref="H5:I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workbookViewId="0">
      <selection activeCell="M9" sqref="M9"/>
    </sheetView>
  </sheetViews>
  <sheetFormatPr defaultRowHeight="15" x14ac:dyDescent="0.25"/>
  <cols>
    <col min="1" max="1" width="6.85546875" bestFit="1" customWidth="1"/>
    <col min="2" max="2" width="50.42578125" bestFit="1" customWidth="1"/>
    <col min="3" max="3" width="11.85546875" bestFit="1" customWidth="1"/>
  </cols>
  <sheetData>
    <row r="2" spans="1:8" x14ac:dyDescent="0.25">
      <c r="A2" s="87"/>
      <c r="B2" s="151" t="s">
        <v>207</v>
      </c>
      <c r="C2" s="151"/>
      <c r="D2" s="151"/>
      <c r="E2" s="151"/>
      <c r="F2" s="151"/>
      <c r="G2" s="151"/>
      <c r="H2" s="151"/>
    </row>
    <row r="3" spans="1:8" x14ac:dyDescent="0.25">
      <c r="A3" s="88" t="s">
        <v>133</v>
      </c>
      <c r="B3" s="88" t="s">
        <v>9</v>
      </c>
      <c r="C3" s="110" t="s">
        <v>391</v>
      </c>
      <c r="D3" s="88" t="s">
        <v>392</v>
      </c>
      <c r="E3" s="88" t="s">
        <v>393</v>
      </c>
      <c r="F3" s="88" t="s">
        <v>394</v>
      </c>
      <c r="G3" s="88" t="s">
        <v>395</v>
      </c>
      <c r="H3" s="88" t="s">
        <v>396</v>
      </c>
    </row>
    <row r="4" spans="1:8" x14ac:dyDescent="0.25">
      <c r="A4" s="88" t="s">
        <v>44</v>
      </c>
      <c r="B4" s="88" t="s">
        <v>397</v>
      </c>
      <c r="C4" s="111"/>
      <c r="D4" s="90"/>
      <c r="E4" s="90"/>
      <c r="F4" s="90"/>
      <c r="G4" s="90"/>
      <c r="H4" s="90"/>
    </row>
    <row r="5" spans="1:8" x14ac:dyDescent="0.25">
      <c r="A5" s="88" t="s">
        <v>398</v>
      </c>
      <c r="B5" s="88" t="s">
        <v>244</v>
      </c>
      <c r="C5" s="111" t="s">
        <v>326</v>
      </c>
      <c r="D5" s="63">
        <v>1000</v>
      </c>
      <c r="E5" s="63">
        <v>1050</v>
      </c>
      <c r="F5" s="63">
        <v>1100</v>
      </c>
      <c r="G5" s="63">
        <v>950</v>
      </c>
      <c r="H5" s="63">
        <v>1200</v>
      </c>
    </row>
    <row r="6" spans="1:8" x14ac:dyDescent="0.25">
      <c r="A6" s="88" t="s">
        <v>399</v>
      </c>
      <c r="B6" s="112" t="s">
        <v>400</v>
      </c>
      <c r="C6" s="111" t="s">
        <v>326</v>
      </c>
      <c r="D6" s="63">
        <v>130</v>
      </c>
      <c r="E6" s="63">
        <v>120</v>
      </c>
      <c r="F6" s="63">
        <v>110</v>
      </c>
      <c r="G6" s="63">
        <v>110</v>
      </c>
      <c r="H6" s="63">
        <v>85</v>
      </c>
    </row>
    <row r="7" spans="1:8" x14ac:dyDescent="0.25">
      <c r="A7" s="88" t="s">
        <v>401</v>
      </c>
      <c r="B7" s="88" t="s">
        <v>228</v>
      </c>
      <c r="C7" s="111" t="s">
        <v>402</v>
      </c>
      <c r="D7" s="63">
        <f>D5-D6</f>
        <v>870</v>
      </c>
      <c r="E7" s="63">
        <f>E5-E6</f>
        <v>930</v>
      </c>
      <c r="F7" s="63">
        <f>F5-F6</f>
        <v>990</v>
      </c>
      <c r="G7" s="63">
        <f>G5-G6</f>
        <v>840</v>
      </c>
      <c r="H7" s="63">
        <f>H5-H6</f>
        <v>1115</v>
      </c>
    </row>
    <row r="8" spans="1:8" x14ac:dyDescent="0.25">
      <c r="A8" s="91" t="s">
        <v>403</v>
      </c>
      <c r="B8" s="91" t="s">
        <v>404</v>
      </c>
      <c r="C8" s="111" t="s">
        <v>326</v>
      </c>
      <c r="D8" s="64">
        <v>70</v>
      </c>
      <c r="E8" s="64">
        <v>75</v>
      </c>
      <c r="F8" s="64">
        <v>40</v>
      </c>
      <c r="G8" s="64">
        <v>40</v>
      </c>
      <c r="H8" s="64">
        <v>10</v>
      </c>
    </row>
    <row r="9" spans="1:8" x14ac:dyDescent="0.25">
      <c r="A9" s="88" t="s">
        <v>405</v>
      </c>
      <c r="B9" s="88" t="s">
        <v>230</v>
      </c>
      <c r="C9" s="111" t="s">
        <v>406</v>
      </c>
      <c r="D9" s="63">
        <f>D7-D8</f>
        <v>800</v>
      </c>
      <c r="E9" s="63">
        <f>E7-E8</f>
        <v>855</v>
      </c>
      <c r="F9" s="63">
        <f>F7-F8</f>
        <v>950</v>
      </c>
      <c r="G9" s="63">
        <f>G7-G8</f>
        <v>800</v>
      </c>
      <c r="H9" s="63">
        <f>H7-H8</f>
        <v>1105</v>
      </c>
    </row>
    <row r="10" spans="1:8" x14ac:dyDescent="0.25">
      <c r="A10" s="88" t="s">
        <v>52</v>
      </c>
      <c r="B10" s="97" t="s">
        <v>407</v>
      </c>
      <c r="C10" s="111"/>
      <c r="D10" s="64"/>
      <c r="E10" s="64"/>
      <c r="F10" s="64"/>
      <c r="G10" s="64"/>
      <c r="H10" s="64"/>
    </row>
    <row r="11" spans="1:8" x14ac:dyDescent="0.25">
      <c r="A11" s="91" t="s">
        <v>408</v>
      </c>
      <c r="B11" s="91" t="s">
        <v>136</v>
      </c>
      <c r="C11" s="111"/>
      <c r="D11" s="65">
        <v>0.2</v>
      </c>
      <c r="E11" s="65">
        <v>0.2</v>
      </c>
      <c r="F11" s="65">
        <v>0.2</v>
      </c>
      <c r="G11" s="65">
        <v>0.2</v>
      </c>
      <c r="H11" s="65">
        <v>0.2</v>
      </c>
    </row>
    <row r="12" spans="1:8" x14ac:dyDescent="0.25">
      <c r="A12" s="88" t="s">
        <v>409</v>
      </c>
      <c r="B12" s="91" t="s">
        <v>231</v>
      </c>
      <c r="C12" s="111" t="s">
        <v>326</v>
      </c>
      <c r="D12" s="63">
        <v>1000</v>
      </c>
      <c r="E12" s="63">
        <v>1100</v>
      </c>
      <c r="F12" s="63">
        <v>1200</v>
      </c>
      <c r="G12" s="63">
        <v>1025</v>
      </c>
      <c r="H12" s="63">
        <v>1800</v>
      </c>
    </row>
    <row r="13" spans="1:8" x14ac:dyDescent="0.25">
      <c r="A13" s="91" t="s">
        <v>410</v>
      </c>
      <c r="B13" s="112" t="s">
        <v>400</v>
      </c>
      <c r="C13" s="111" t="s">
        <v>399</v>
      </c>
      <c r="D13" s="64">
        <f>D6</f>
        <v>130</v>
      </c>
      <c r="E13" s="64">
        <f>E6</f>
        <v>120</v>
      </c>
      <c r="F13" s="64">
        <f>F6</f>
        <v>110</v>
      </c>
      <c r="G13" s="64">
        <f>G6</f>
        <v>110</v>
      </c>
      <c r="H13" s="64">
        <f>H6</f>
        <v>85</v>
      </c>
    </row>
    <row r="14" spans="1:8" x14ac:dyDescent="0.25">
      <c r="A14" s="91" t="s">
        <v>411</v>
      </c>
      <c r="B14" s="91" t="s">
        <v>404</v>
      </c>
      <c r="C14" s="111" t="s">
        <v>403</v>
      </c>
      <c r="D14" s="64">
        <f>D8</f>
        <v>70</v>
      </c>
      <c r="E14" s="64">
        <f>E8</f>
        <v>75</v>
      </c>
      <c r="F14" s="64">
        <f>F8</f>
        <v>40</v>
      </c>
      <c r="G14" s="64">
        <f>G8</f>
        <v>40</v>
      </c>
      <c r="H14" s="64">
        <f>H8</f>
        <v>10</v>
      </c>
    </row>
    <row r="15" spans="1:8" x14ac:dyDescent="0.25">
      <c r="A15" s="91" t="s">
        <v>412</v>
      </c>
      <c r="B15" s="91" t="s">
        <v>232</v>
      </c>
      <c r="C15" s="111" t="s">
        <v>413</v>
      </c>
      <c r="D15" s="64">
        <f>D12-D13-D14</f>
        <v>800</v>
      </c>
      <c r="E15" s="64">
        <f>E12-E13-E14</f>
        <v>905</v>
      </c>
      <c r="F15" s="64">
        <f>F12-F13-F14</f>
        <v>1050</v>
      </c>
      <c r="G15" s="64">
        <f>G12-G13-G14</f>
        <v>875</v>
      </c>
      <c r="H15" s="64">
        <f>H12-H13-H14</f>
        <v>1705</v>
      </c>
    </row>
    <row r="16" spans="1:8" x14ac:dyDescent="0.25">
      <c r="A16" s="88" t="s">
        <v>414</v>
      </c>
      <c r="B16" s="88" t="s">
        <v>208</v>
      </c>
      <c r="C16" s="111" t="s">
        <v>415</v>
      </c>
      <c r="D16" s="63">
        <f>D11*D12</f>
        <v>200</v>
      </c>
      <c r="E16" s="63">
        <f>E11*E12</f>
        <v>220</v>
      </c>
      <c r="F16" s="63">
        <f>F11*F12</f>
        <v>240</v>
      </c>
      <c r="G16" s="63">
        <f>G11*G12</f>
        <v>205</v>
      </c>
      <c r="H16" s="63">
        <f>H11*H12</f>
        <v>360</v>
      </c>
    </row>
    <row r="17" spans="1:8" x14ac:dyDescent="0.25">
      <c r="A17" s="91" t="s">
        <v>416</v>
      </c>
      <c r="B17" s="91" t="s">
        <v>166</v>
      </c>
      <c r="C17" s="111" t="s">
        <v>417</v>
      </c>
      <c r="D17" s="64">
        <f>D13*D11+D11*D14</f>
        <v>40</v>
      </c>
      <c r="E17" s="64">
        <f>E13*E11+E11*E14</f>
        <v>39</v>
      </c>
      <c r="F17" s="64">
        <f>F13*F11+F11*F14</f>
        <v>30</v>
      </c>
      <c r="G17" s="64">
        <f>G13*G11+G11*G14</f>
        <v>30</v>
      </c>
      <c r="H17" s="64">
        <f>H13*H11+H11*H14</f>
        <v>19</v>
      </c>
    </row>
    <row r="18" spans="1:8" x14ac:dyDescent="0.25">
      <c r="A18" s="91" t="s">
        <v>416</v>
      </c>
      <c r="B18" s="91" t="s">
        <v>418</v>
      </c>
      <c r="C18" s="111" t="s">
        <v>419</v>
      </c>
      <c r="D18" s="64">
        <f>D16-D17</f>
        <v>160</v>
      </c>
      <c r="E18" s="64">
        <f>E16-E17</f>
        <v>181</v>
      </c>
      <c r="F18" s="64">
        <f>F16-F17</f>
        <v>210</v>
      </c>
      <c r="G18" s="64">
        <f>G16-G17</f>
        <v>175</v>
      </c>
      <c r="H18" s="64">
        <f>H16-H17</f>
        <v>341</v>
      </c>
    </row>
    <row r="19" spans="1:8" x14ac:dyDescent="0.25">
      <c r="A19" s="91" t="s">
        <v>53</v>
      </c>
      <c r="B19" s="96" t="s">
        <v>420</v>
      </c>
      <c r="C19" s="113" t="s">
        <v>421</v>
      </c>
      <c r="D19" s="51">
        <f>D18/(D7-D14)</f>
        <v>0.2</v>
      </c>
      <c r="E19" s="51">
        <f>E18/(E7-E14)</f>
        <v>0.21169590643274855</v>
      </c>
      <c r="F19" s="51">
        <f>F18/(F7-F14)</f>
        <v>0.22105263157894736</v>
      </c>
      <c r="G19" s="51">
        <f>G18/(G7-G14)</f>
        <v>0.21875</v>
      </c>
      <c r="H19" s="51">
        <f>H18/(H7-H14)</f>
        <v>0.30859728506787332</v>
      </c>
    </row>
    <row r="20" spans="1:8" x14ac:dyDescent="0.25">
      <c r="A20" s="91" t="s">
        <v>49</v>
      </c>
      <c r="B20" s="97" t="s">
        <v>422</v>
      </c>
      <c r="C20" s="113"/>
      <c r="D20" s="51"/>
      <c r="E20" s="51"/>
      <c r="F20" s="51"/>
      <c r="G20" s="51"/>
      <c r="H20" s="51"/>
    </row>
    <row r="21" spans="1:8" x14ac:dyDescent="0.25">
      <c r="A21" s="91" t="s">
        <v>423</v>
      </c>
      <c r="B21" s="96" t="s">
        <v>237</v>
      </c>
      <c r="C21" s="113" t="s">
        <v>326</v>
      </c>
      <c r="D21" s="80">
        <v>600</v>
      </c>
      <c r="E21" s="80">
        <v>600</v>
      </c>
      <c r="F21" s="80">
        <v>600</v>
      </c>
      <c r="G21" s="80">
        <v>600</v>
      </c>
      <c r="H21" s="80">
        <v>600</v>
      </c>
    </row>
    <row r="22" spans="1:8" x14ac:dyDescent="0.25">
      <c r="A22" s="91" t="s">
        <v>424</v>
      </c>
      <c r="B22" s="97" t="s">
        <v>236</v>
      </c>
      <c r="C22" s="113" t="s">
        <v>425</v>
      </c>
      <c r="D22" s="98">
        <f>D21/(1-D19)</f>
        <v>750</v>
      </c>
      <c r="E22" s="98">
        <f>E21/(1-E19)</f>
        <v>761.12759643916922</v>
      </c>
      <c r="F22" s="98">
        <f>F21/(1-F19)</f>
        <v>770.27027027027032</v>
      </c>
      <c r="G22" s="98">
        <f>G21/(1-G19)</f>
        <v>768</v>
      </c>
      <c r="H22" s="98">
        <f>H21/(1-H19)</f>
        <v>867.80104712041884</v>
      </c>
    </row>
    <row r="23" spans="1:8" x14ac:dyDescent="0.25">
      <c r="A23" s="91"/>
      <c r="B23" s="97"/>
      <c r="C23" s="113"/>
      <c r="D23" s="80"/>
      <c r="E23" s="80"/>
      <c r="F23" s="80"/>
      <c r="G23" s="80"/>
      <c r="H23" s="80"/>
    </row>
    <row r="24" spans="1:8" x14ac:dyDescent="0.25">
      <c r="A24" s="91" t="s">
        <v>46</v>
      </c>
      <c r="B24" s="97" t="s">
        <v>426</v>
      </c>
      <c r="C24" s="113"/>
      <c r="D24" s="80"/>
      <c r="E24" s="80"/>
      <c r="F24" s="80"/>
      <c r="G24" s="80"/>
      <c r="H24" s="80"/>
    </row>
    <row r="25" spans="1:8" x14ac:dyDescent="0.25">
      <c r="A25" s="91" t="s">
        <v>427</v>
      </c>
      <c r="B25" s="96" t="s">
        <v>428</v>
      </c>
      <c r="C25" s="114" t="s">
        <v>429</v>
      </c>
      <c r="D25" s="80">
        <f>(D12-D5)</f>
        <v>0</v>
      </c>
      <c r="E25" s="80">
        <f>(E12-E5)</f>
        <v>50</v>
      </c>
      <c r="F25" s="80">
        <f>(F12-F5)</f>
        <v>100</v>
      </c>
      <c r="G25" s="80">
        <f>(G12-G5)</f>
        <v>75</v>
      </c>
      <c r="H25" s="80">
        <f>(H12-H5)</f>
        <v>600</v>
      </c>
    </row>
    <row r="26" spans="1:8" x14ac:dyDescent="0.25">
      <c r="A26" s="91" t="s">
        <v>430</v>
      </c>
      <c r="B26" s="96" t="s">
        <v>431</v>
      </c>
      <c r="C26" s="114" t="s">
        <v>432</v>
      </c>
      <c r="D26" s="80">
        <f>(D25/(1-D11))-D25</f>
        <v>0</v>
      </c>
      <c r="E26" s="80">
        <f>(E25/(1-E11))-E25</f>
        <v>12.5</v>
      </c>
      <c r="F26" s="80">
        <f>(F25/(1-F11))-F25</f>
        <v>25</v>
      </c>
      <c r="G26" s="80">
        <f>(G25/(1-G11))-G25</f>
        <v>18.75</v>
      </c>
      <c r="H26" s="80">
        <f>(H25/(1-H11))-H25</f>
        <v>150</v>
      </c>
    </row>
    <row r="27" spans="1:8" x14ac:dyDescent="0.25">
      <c r="A27" s="91" t="s">
        <v>433</v>
      </c>
      <c r="B27" s="96" t="s">
        <v>434</v>
      </c>
      <c r="C27" s="114"/>
      <c r="D27" s="80">
        <f>D21/(1-D11)</f>
        <v>750</v>
      </c>
      <c r="E27" s="80">
        <f>E21/(1-E11)</f>
        <v>750</v>
      </c>
      <c r="F27" s="80">
        <f>F21/(1-F11)</f>
        <v>750</v>
      </c>
      <c r="G27" s="80">
        <f>G21/(1-G11)</f>
        <v>750</v>
      </c>
      <c r="H27" s="80">
        <f>H21/(1-H11)</f>
        <v>750</v>
      </c>
    </row>
    <row r="28" spans="1:8" x14ac:dyDescent="0.25">
      <c r="A28" s="91" t="s">
        <v>435</v>
      </c>
      <c r="B28" s="97" t="s">
        <v>217</v>
      </c>
      <c r="C28" s="115" t="s">
        <v>436</v>
      </c>
      <c r="D28" s="98">
        <f>SUM(D26:D27)</f>
        <v>750</v>
      </c>
      <c r="E28" s="98">
        <f>SUM(E26:E27)</f>
        <v>762.5</v>
      </c>
      <c r="F28" s="98">
        <f>SUM(F26:F27)</f>
        <v>775</v>
      </c>
      <c r="G28" s="98">
        <f>SUM(G26:G27)</f>
        <v>768.75</v>
      </c>
      <c r="H28" s="98">
        <f>SUM(H26:H27)</f>
        <v>900</v>
      </c>
    </row>
    <row r="29" spans="1:8" x14ac:dyDescent="0.25">
      <c r="A29" s="91" t="s">
        <v>437</v>
      </c>
      <c r="B29" s="97" t="s">
        <v>238</v>
      </c>
      <c r="C29" s="113" t="s">
        <v>438</v>
      </c>
      <c r="D29" s="98">
        <f>D28-D22</f>
        <v>0</v>
      </c>
      <c r="E29" s="98">
        <f>E28-E22</f>
        <v>1.3724035608307759</v>
      </c>
      <c r="F29" s="98">
        <f>F28-F22</f>
        <v>4.7297297297296836</v>
      </c>
      <c r="G29" s="98">
        <f>G28-G22</f>
        <v>0.75</v>
      </c>
      <c r="H29" s="98">
        <f>H28-H22</f>
        <v>32.198952879581157</v>
      </c>
    </row>
    <row r="30" spans="1:8" x14ac:dyDescent="0.25">
      <c r="A30" s="91" t="s">
        <v>47</v>
      </c>
      <c r="B30" s="97" t="s">
        <v>216</v>
      </c>
      <c r="C30" s="113"/>
      <c r="D30" s="51"/>
      <c r="E30" s="51"/>
      <c r="F30" s="51"/>
      <c r="G30" s="51"/>
      <c r="H30" s="51"/>
    </row>
    <row r="31" spans="1:8" x14ac:dyDescent="0.25">
      <c r="A31" s="91" t="s">
        <v>439</v>
      </c>
      <c r="B31" s="96" t="s">
        <v>440</v>
      </c>
      <c r="C31" s="114" t="s">
        <v>441</v>
      </c>
      <c r="D31" s="80">
        <f>D11*(D21/(1-D11))</f>
        <v>150</v>
      </c>
      <c r="E31" s="80">
        <f>E11*(E21/(1-E11))</f>
        <v>150</v>
      </c>
      <c r="F31" s="80">
        <f>F11*(F21/(1-F11))</f>
        <v>150</v>
      </c>
      <c r="G31" s="80">
        <f>G11*(G21/(1-G11))</f>
        <v>150</v>
      </c>
      <c r="H31" s="80">
        <f>H11*(H21/(1-H11))</f>
        <v>150</v>
      </c>
    </row>
    <row r="32" spans="1:8" x14ac:dyDescent="0.25">
      <c r="A32" s="91" t="s">
        <v>442</v>
      </c>
      <c r="B32" s="96" t="s">
        <v>211</v>
      </c>
      <c r="C32" s="114" t="s">
        <v>443</v>
      </c>
      <c r="D32" s="80">
        <f>D11*(D12-D5)</f>
        <v>0</v>
      </c>
      <c r="E32" s="80">
        <f>E11*(E12-E5)</f>
        <v>10</v>
      </c>
      <c r="F32" s="80">
        <f>F11*(F12-F5)</f>
        <v>20</v>
      </c>
      <c r="G32" s="80">
        <f>G11*(G12-G5)</f>
        <v>15</v>
      </c>
      <c r="H32" s="80">
        <f>H11*(H12-H5)</f>
        <v>120</v>
      </c>
    </row>
    <row r="33" spans="1:8" x14ac:dyDescent="0.25">
      <c r="A33" s="91" t="s">
        <v>444</v>
      </c>
      <c r="B33" s="96" t="s">
        <v>434</v>
      </c>
      <c r="C33" s="114" t="s">
        <v>445</v>
      </c>
      <c r="D33" s="80">
        <f>D21/(1-D11)</f>
        <v>750</v>
      </c>
      <c r="E33" s="80">
        <f>E21/(1-E11)</f>
        <v>750</v>
      </c>
      <c r="F33" s="80">
        <f>F21/(1-F11)</f>
        <v>750</v>
      </c>
      <c r="G33" s="80">
        <f>G21/(1-G11)</f>
        <v>750</v>
      </c>
      <c r="H33" s="80">
        <f>H21/(1-H11)</f>
        <v>750</v>
      </c>
    </row>
    <row r="34" spans="1:8" ht="60" x14ac:dyDescent="0.25">
      <c r="A34" s="91" t="s">
        <v>446</v>
      </c>
      <c r="B34" s="96" t="s">
        <v>216</v>
      </c>
      <c r="C34" s="116" t="s">
        <v>447</v>
      </c>
      <c r="D34" s="51">
        <f>(D31+D32/(1-D11))/(D33+D32/(1-D11))</f>
        <v>0.2</v>
      </c>
      <c r="E34" s="51">
        <f>(E31+E32/(1-E11))/(E33+E32/(1-E11))</f>
        <v>0.21311475409836064</v>
      </c>
      <c r="F34" s="51">
        <f>(F31+F32/(1-F11))/(F33+F32/(1-F11))</f>
        <v>0.22580645161290322</v>
      </c>
      <c r="G34" s="51">
        <f>(G31+G32/(1-G11))/(G33+G32/(1-G11))</f>
        <v>0.21951219512195122</v>
      </c>
      <c r="H34" s="51">
        <f>(H31+H32/(1-H11))/(H33+H32/(1-H11))</f>
        <v>0.33333333333333331</v>
      </c>
    </row>
    <row r="35" spans="1:8" x14ac:dyDescent="0.25">
      <c r="A35" s="91"/>
      <c r="B35" s="96"/>
      <c r="C35" s="113"/>
      <c r="D35" s="51"/>
      <c r="E35" s="51"/>
      <c r="F35" s="51"/>
      <c r="G35" s="51"/>
      <c r="H35" s="51"/>
    </row>
    <row r="36" spans="1:8" x14ac:dyDescent="0.25">
      <c r="A36" s="91" t="s">
        <v>448</v>
      </c>
      <c r="B36" s="97" t="s">
        <v>449</v>
      </c>
      <c r="C36" s="113"/>
      <c r="D36" s="98">
        <f>D21/(1-D34)</f>
        <v>750</v>
      </c>
      <c r="E36" s="98">
        <f>E21/(1-E34)</f>
        <v>762.5</v>
      </c>
      <c r="F36" s="98">
        <f>F21/(1-F34)</f>
        <v>775</v>
      </c>
      <c r="G36" s="98">
        <f>G21/(1-G34)</f>
        <v>768.75</v>
      </c>
      <c r="H36" s="98">
        <f>H21/(1-H34)</f>
        <v>899.99999999999989</v>
      </c>
    </row>
    <row r="37" spans="1:8" x14ac:dyDescent="0.25">
      <c r="A37" s="91" t="s">
        <v>450</v>
      </c>
      <c r="B37" s="97" t="s">
        <v>451</v>
      </c>
      <c r="C37" s="113"/>
      <c r="D37" s="98">
        <f>D28-D36</f>
        <v>0</v>
      </c>
      <c r="E37" s="98">
        <f>E28-E36</f>
        <v>0</v>
      </c>
      <c r="F37" s="98">
        <f>F28-F36</f>
        <v>0</v>
      </c>
      <c r="G37" s="98">
        <f>G28-G36</f>
        <v>0</v>
      </c>
      <c r="H37" s="98">
        <f>H28-H36</f>
        <v>0</v>
      </c>
    </row>
    <row r="38" spans="1:8" ht="45" x14ac:dyDescent="0.25">
      <c r="A38" s="30"/>
      <c r="B38" s="85" t="s">
        <v>452</v>
      </c>
      <c r="C38" s="117"/>
      <c r="D38" s="83"/>
      <c r="E38" s="83"/>
      <c r="F38" s="83"/>
      <c r="G38" s="83"/>
      <c r="H38" s="83"/>
    </row>
  </sheetData>
  <mergeCells count="1">
    <mergeCell ref="B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9"/>
  <sheetViews>
    <sheetView workbookViewId="0">
      <pane xSplit="4" ySplit="4" topLeftCell="K11" activePane="bottomRight" state="frozen"/>
      <selection pane="topRight" activeCell="D1" sqref="D1"/>
      <selection pane="bottomLeft" activeCell="A5" sqref="A5"/>
      <selection pane="bottomRight" activeCell="K16" sqref="K16"/>
    </sheetView>
  </sheetViews>
  <sheetFormatPr defaultRowHeight="15" x14ac:dyDescent="0.25"/>
  <cols>
    <col min="2" max="2" width="3.7109375" style="9" bestFit="1" customWidth="1"/>
    <col min="3" max="3" width="44.28515625" bestFit="1" customWidth="1"/>
    <col min="4" max="4" width="21" style="9" customWidth="1"/>
    <col min="5" max="5" width="11.140625" bestFit="1" customWidth="1"/>
  </cols>
  <sheetData>
    <row r="1" spans="2:29" x14ac:dyDescent="0.25">
      <c r="B1" s="9" t="s">
        <v>135</v>
      </c>
      <c r="C1" t="s">
        <v>269</v>
      </c>
      <c r="E1" s="99">
        <v>0.3</v>
      </c>
      <c r="F1" s="99">
        <v>0.3</v>
      </c>
      <c r="G1" s="99">
        <v>0.3</v>
      </c>
      <c r="H1" s="99">
        <v>0.3</v>
      </c>
      <c r="I1" s="99">
        <v>0.3</v>
      </c>
      <c r="J1" s="99">
        <v>0.3</v>
      </c>
      <c r="K1" s="99">
        <v>0.3</v>
      </c>
      <c r="L1" s="99">
        <v>0.3</v>
      </c>
      <c r="M1" s="99">
        <v>0.3</v>
      </c>
      <c r="N1" s="99">
        <v>0.3</v>
      </c>
      <c r="O1" s="99">
        <v>0.3</v>
      </c>
      <c r="P1" s="99">
        <v>0.3</v>
      </c>
      <c r="Q1" s="99">
        <v>0.3</v>
      </c>
      <c r="R1" s="99">
        <v>0.3</v>
      </c>
      <c r="S1" s="99">
        <v>0.3</v>
      </c>
      <c r="T1" s="99">
        <v>0.3</v>
      </c>
      <c r="U1" s="99">
        <v>0.3</v>
      </c>
      <c r="V1" s="99">
        <v>0.3</v>
      </c>
      <c r="W1" s="99">
        <v>0.3</v>
      </c>
      <c r="X1" s="99">
        <v>0.3</v>
      </c>
      <c r="Y1" s="99">
        <v>0.3</v>
      </c>
      <c r="Z1" s="99">
        <v>0.3</v>
      </c>
      <c r="AA1" s="99">
        <v>0.3</v>
      </c>
      <c r="AB1" s="99">
        <v>0.3</v>
      </c>
      <c r="AC1" s="99">
        <v>0.3</v>
      </c>
    </row>
    <row r="2" spans="2:29" x14ac:dyDescent="0.25">
      <c r="B2" s="9" t="s">
        <v>186</v>
      </c>
      <c r="C2" t="s">
        <v>270</v>
      </c>
      <c r="D2" s="10"/>
      <c r="E2" s="99">
        <v>0.2</v>
      </c>
      <c r="F2" s="99">
        <v>0.2</v>
      </c>
      <c r="G2" s="99">
        <v>0.2</v>
      </c>
      <c r="H2" s="99">
        <v>0.2</v>
      </c>
      <c r="I2" s="99">
        <v>0.2</v>
      </c>
      <c r="J2" s="99">
        <v>0.2</v>
      </c>
      <c r="K2" s="99">
        <v>0.2</v>
      </c>
      <c r="L2" s="99">
        <v>0.2</v>
      </c>
      <c r="M2" s="99">
        <v>0.2</v>
      </c>
      <c r="N2" s="99">
        <v>0.2</v>
      </c>
      <c r="O2" s="99">
        <v>0.2</v>
      </c>
      <c r="P2" s="99">
        <v>0.2</v>
      </c>
      <c r="Q2" s="99">
        <v>0.2</v>
      </c>
      <c r="R2" s="99">
        <v>0.2</v>
      </c>
      <c r="S2" s="99">
        <v>0.2</v>
      </c>
      <c r="T2" s="99">
        <v>0.2</v>
      </c>
      <c r="U2" s="99">
        <v>0.2</v>
      </c>
      <c r="V2" s="99">
        <v>0.2</v>
      </c>
      <c r="W2" s="99">
        <v>0.2</v>
      </c>
      <c r="X2" s="99">
        <v>0.2</v>
      </c>
      <c r="Y2" s="99">
        <v>0.2</v>
      </c>
      <c r="Z2" s="99">
        <v>0.2</v>
      </c>
      <c r="AA2" s="99">
        <v>0.2</v>
      </c>
      <c r="AB2" s="99">
        <v>0.2</v>
      </c>
      <c r="AC2" s="99">
        <v>0.2</v>
      </c>
    </row>
    <row r="3" spans="2:29" x14ac:dyDescent="0.25">
      <c r="C3" s="6" t="s">
        <v>268</v>
      </c>
      <c r="E3" s="79" t="s">
        <v>8</v>
      </c>
      <c r="F3" s="79" t="s">
        <v>8</v>
      </c>
      <c r="G3" s="79" t="s">
        <v>8</v>
      </c>
      <c r="H3" s="79" t="s">
        <v>8</v>
      </c>
      <c r="I3" s="79" t="s">
        <v>8</v>
      </c>
      <c r="J3" s="79" t="s">
        <v>8</v>
      </c>
      <c r="K3" s="79" t="s">
        <v>241</v>
      </c>
      <c r="L3" s="79" t="s">
        <v>241</v>
      </c>
      <c r="M3" s="79" t="s">
        <v>241</v>
      </c>
      <c r="N3" s="79" t="s">
        <v>241</v>
      </c>
      <c r="O3" s="79" t="s">
        <v>241</v>
      </c>
      <c r="P3" s="79" t="s">
        <v>241</v>
      </c>
      <c r="Q3" s="79" t="s">
        <v>241</v>
      </c>
      <c r="R3" s="79" t="s">
        <v>241</v>
      </c>
      <c r="S3" s="79" t="s">
        <v>241</v>
      </c>
      <c r="T3" s="79" t="s">
        <v>241</v>
      </c>
      <c r="U3" s="79" t="s">
        <v>241</v>
      </c>
      <c r="V3" s="79" t="s">
        <v>241</v>
      </c>
      <c r="W3" s="79" t="s">
        <v>241</v>
      </c>
      <c r="X3" s="79" t="s">
        <v>241</v>
      </c>
      <c r="Y3" s="79" t="s">
        <v>241</v>
      </c>
      <c r="Z3" s="79" t="s">
        <v>241</v>
      </c>
      <c r="AA3" s="79" t="s">
        <v>241</v>
      </c>
      <c r="AB3" s="79" t="s">
        <v>241</v>
      </c>
      <c r="AC3" s="79" t="s">
        <v>241</v>
      </c>
    </row>
    <row r="4" spans="2:29" x14ac:dyDescent="0.25">
      <c r="C4" t="s">
        <v>234</v>
      </c>
      <c r="E4" s="9" t="str">
        <f t="shared" ref="E4:N4" ca="1" si="0">IF(E23=E22,"MAT","Normal")</f>
        <v>MAT</v>
      </c>
      <c r="F4" s="9" t="str">
        <f t="shared" ca="1" si="0"/>
        <v>MAT</v>
      </c>
      <c r="G4" s="9" t="str">
        <f t="shared" ca="1" si="0"/>
        <v>MAT</v>
      </c>
      <c r="H4" s="9" t="str">
        <f t="shared" ca="1" si="0"/>
        <v>MAT</v>
      </c>
      <c r="I4" s="9" t="str">
        <f t="shared" ca="1" si="0"/>
        <v>MAT</v>
      </c>
      <c r="J4" s="9" t="str">
        <f t="shared" ca="1" si="0"/>
        <v>MAT</v>
      </c>
      <c r="K4" s="9" t="str">
        <f t="shared" ca="1" si="0"/>
        <v>Normal</v>
      </c>
      <c r="L4" s="9" t="str">
        <f t="shared" ca="1" si="0"/>
        <v>Normal</v>
      </c>
      <c r="M4" s="9" t="str">
        <f t="shared" ca="1" si="0"/>
        <v>Normal</v>
      </c>
      <c r="N4" s="9" t="str">
        <f t="shared" ca="1" si="0"/>
        <v>Normal</v>
      </c>
      <c r="O4" s="9" t="str">
        <f ca="1">IF(O23=O22,"MAT","Normal")</f>
        <v>Normal</v>
      </c>
      <c r="P4" s="9" t="str">
        <f ca="1">IF(P23=P22,"MAT","Normal")</f>
        <v>Normal</v>
      </c>
      <c r="Q4" s="9" t="str">
        <f ca="1">IF(Q23=Q22,"MAT","Normal")</f>
        <v>Normal</v>
      </c>
      <c r="R4" s="9" t="str">
        <f ca="1">IF(R23=R22,"MAT","Normal")</f>
        <v>Normal</v>
      </c>
      <c r="S4" s="9" t="str">
        <f ca="1">IF(S23=S22,"MAT","Normal")</f>
        <v>Normal</v>
      </c>
      <c r="T4" s="9" t="str">
        <f t="shared" ref="T4:AC4" ca="1" si="1">IF(T23=T22,"MAT","Normal")</f>
        <v>Normal</v>
      </c>
      <c r="U4" s="9" t="str">
        <f t="shared" ca="1" si="1"/>
        <v>Normal</v>
      </c>
      <c r="V4" s="9" t="str">
        <f t="shared" ca="1" si="1"/>
        <v>Normal</v>
      </c>
      <c r="W4" s="9" t="str">
        <f t="shared" ca="1" si="1"/>
        <v>Normal</v>
      </c>
      <c r="X4" s="9" t="str">
        <f t="shared" ca="1" si="1"/>
        <v>Normal</v>
      </c>
      <c r="Y4" s="9" t="str">
        <f t="shared" ca="1" si="1"/>
        <v>Normal</v>
      </c>
      <c r="Z4" s="9" t="str">
        <f t="shared" ca="1" si="1"/>
        <v>Normal</v>
      </c>
      <c r="AA4" s="9" t="str">
        <f t="shared" ca="1" si="1"/>
        <v>Normal</v>
      </c>
      <c r="AB4" s="9" t="str">
        <f t="shared" ca="1" si="1"/>
        <v>Normal</v>
      </c>
      <c r="AC4" s="9" t="str">
        <f t="shared" ca="1" si="1"/>
        <v>Normal</v>
      </c>
    </row>
    <row r="5" spans="2:29" x14ac:dyDescent="0.25">
      <c r="C5" s="6" t="s">
        <v>279</v>
      </c>
      <c r="E5" s="9"/>
      <c r="F5" s="9"/>
      <c r="G5" s="9"/>
      <c r="H5" s="9"/>
      <c r="I5" s="9"/>
      <c r="J5" s="9"/>
      <c r="K5" s="9"/>
      <c r="L5" s="9"/>
      <c r="M5" s="9"/>
      <c r="N5" s="9"/>
    </row>
    <row r="6" spans="2:29" x14ac:dyDescent="0.25">
      <c r="C6" t="s">
        <v>377</v>
      </c>
      <c r="D6" s="9" t="s">
        <v>354</v>
      </c>
      <c r="E6" s="50">
        <f ca="1">E25</f>
        <v>0.2</v>
      </c>
      <c r="F6" s="50">
        <f t="shared" ref="F6:S6" ca="1" si="2">F25</f>
        <v>0.2</v>
      </c>
      <c r="G6" s="50">
        <f t="shared" ca="1" si="2"/>
        <v>0.2</v>
      </c>
      <c r="H6" s="50">
        <f t="shared" ca="1" si="2"/>
        <v>0.2</v>
      </c>
      <c r="I6" s="50">
        <f t="shared" ca="1" si="2"/>
        <v>0.2</v>
      </c>
      <c r="J6" s="50">
        <f t="shared" ca="1" si="2"/>
        <v>0.2</v>
      </c>
      <c r="K6" s="50">
        <f t="shared" ca="1" si="2"/>
        <v>0.19999999999999998</v>
      </c>
      <c r="L6" s="50">
        <f t="shared" ca="1" si="2"/>
        <v>0.19999999999999998</v>
      </c>
      <c r="M6" s="50">
        <f t="shared" ca="1" si="2"/>
        <v>0.19999999999999998</v>
      </c>
      <c r="N6" s="50">
        <f t="shared" ca="1" si="2"/>
        <v>0.57090386443010743</v>
      </c>
      <c r="O6" s="50">
        <f t="shared" ca="1" si="2"/>
        <v>0.59015234670107519</v>
      </c>
      <c r="P6" s="50">
        <f t="shared" ca="1" si="2"/>
        <v>0.59452151554752686</v>
      </c>
      <c r="Q6" s="50">
        <f t="shared" ca="1" si="2"/>
        <v>0.59714301685539783</v>
      </c>
      <c r="R6" s="50">
        <f t="shared" ca="1" si="2"/>
        <v>0.59871591764012044</v>
      </c>
      <c r="S6" s="50">
        <f t="shared" ca="1" si="2"/>
        <v>0.5996596581109539</v>
      </c>
      <c r="T6" s="50">
        <f t="shared" ref="T6:AC6" ca="1" si="3">T25</f>
        <v>0.60022590239345408</v>
      </c>
      <c r="U6" s="50">
        <f t="shared" ca="1" si="3"/>
        <v>0.60056564896295417</v>
      </c>
      <c r="V6" s="50">
        <f t="shared" ca="1" si="3"/>
        <v>0.60076949690465398</v>
      </c>
      <c r="W6" s="50">
        <f t="shared" ca="1" si="3"/>
        <v>0.60089180566967415</v>
      </c>
      <c r="X6" s="50">
        <f t="shared" ca="1" si="3"/>
        <v>0.60096519092868617</v>
      </c>
      <c r="Y6" s="50">
        <f t="shared" ca="1" si="3"/>
        <v>0.60100922208409346</v>
      </c>
      <c r="Z6" s="50">
        <f t="shared" ca="1" si="3"/>
        <v>0.60103564077733784</v>
      </c>
      <c r="AA6" s="50">
        <f t="shared" ca="1" si="3"/>
        <v>0.60105149199328445</v>
      </c>
      <c r="AB6" s="50">
        <f t="shared" ca="1" si="3"/>
        <v>0.60106100272285212</v>
      </c>
      <c r="AC6" s="50">
        <f t="shared" ca="1" si="3"/>
        <v>0.60106670916059302</v>
      </c>
    </row>
    <row r="7" spans="2:29" x14ac:dyDescent="0.25">
      <c r="C7" s="6" t="s">
        <v>378</v>
      </c>
      <c r="E7" s="103">
        <v>10000</v>
      </c>
      <c r="F7" s="103">
        <v>10000</v>
      </c>
      <c r="G7" s="103">
        <v>10000</v>
      </c>
      <c r="H7" s="103">
        <v>10000</v>
      </c>
      <c r="I7" s="103">
        <v>10000</v>
      </c>
      <c r="J7" s="103">
        <v>10000</v>
      </c>
      <c r="K7" s="103">
        <v>10000</v>
      </c>
      <c r="L7" s="103">
        <v>10000</v>
      </c>
      <c r="M7" s="103">
        <v>10000</v>
      </c>
      <c r="N7" s="103">
        <v>10000</v>
      </c>
      <c r="O7" s="103">
        <v>10000</v>
      </c>
      <c r="P7" s="103">
        <v>10000</v>
      </c>
      <c r="Q7" s="103">
        <v>10000</v>
      </c>
      <c r="R7" s="103">
        <v>10000</v>
      </c>
      <c r="S7" s="103">
        <v>10000</v>
      </c>
      <c r="T7" s="103">
        <v>10000</v>
      </c>
      <c r="U7" s="103">
        <v>10000</v>
      </c>
      <c r="V7" s="103">
        <v>10000</v>
      </c>
      <c r="W7" s="103">
        <v>10000</v>
      </c>
      <c r="X7" s="103">
        <v>10000</v>
      </c>
      <c r="Y7" s="103">
        <v>10000</v>
      </c>
      <c r="Z7" s="103">
        <v>10000</v>
      </c>
      <c r="AA7" s="103">
        <v>10000</v>
      </c>
      <c r="AB7" s="103">
        <v>10000</v>
      </c>
      <c r="AC7" s="103">
        <v>10000</v>
      </c>
    </row>
    <row r="8" spans="2:29" x14ac:dyDescent="0.25">
      <c r="C8" t="s">
        <v>379</v>
      </c>
      <c r="E8" s="50"/>
      <c r="F8" s="50"/>
      <c r="G8" s="50"/>
      <c r="H8" s="50"/>
      <c r="I8" s="50"/>
      <c r="J8" s="50"/>
      <c r="K8" s="50"/>
      <c r="L8" s="50"/>
      <c r="M8" s="50"/>
      <c r="N8" s="50"/>
    </row>
    <row r="9" spans="2:29" x14ac:dyDescent="0.25">
      <c r="C9" s="6" t="s">
        <v>380</v>
      </c>
      <c r="E9" s="103">
        <f>E7/15</f>
        <v>666.66666666666663</v>
      </c>
      <c r="F9" s="103">
        <f t="shared" ref="F9:S9" si="4">F7/15</f>
        <v>666.66666666666663</v>
      </c>
      <c r="G9" s="103">
        <f t="shared" si="4"/>
        <v>666.66666666666663</v>
      </c>
      <c r="H9" s="103">
        <f t="shared" si="4"/>
        <v>666.66666666666663</v>
      </c>
      <c r="I9" s="103">
        <f t="shared" si="4"/>
        <v>666.66666666666663</v>
      </c>
      <c r="J9" s="103">
        <f t="shared" si="4"/>
        <v>666.66666666666663</v>
      </c>
      <c r="K9" s="103">
        <f t="shared" si="4"/>
        <v>666.66666666666663</v>
      </c>
      <c r="L9" s="103">
        <f t="shared" si="4"/>
        <v>666.66666666666663</v>
      </c>
      <c r="M9" s="103">
        <f t="shared" si="4"/>
        <v>666.66666666666663</v>
      </c>
      <c r="N9" s="103">
        <f t="shared" si="4"/>
        <v>666.66666666666663</v>
      </c>
      <c r="O9" s="103">
        <f t="shared" si="4"/>
        <v>666.66666666666663</v>
      </c>
      <c r="P9" s="103">
        <f t="shared" si="4"/>
        <v>666.66666666666663</v>
      </c>
      <c r="Q9" s="103">
        <f t="shared" si="4"/>
        <v>666.66666666666663</v>
      </c>
      <c r="R9" s="103">
        <f t="shared" si="4"/>
        <v>666.66666666666663</v>
      </c>
      <c r="S9" s="103">
        <f t="shared" si="4"/>
        <v>666.66666666666663</v>
      </c>
      <c r="T9" s="103">
        <f t="shared" ref="T9:AC9" si="5">T7/15</f>
        <v>666.66666666666663</v>
      </c>
      <c r="U9" s="103">
        <f t="shared" si="5"/>
        <v>666.66666666666663</v>
      </c>
      <c r="V9" s="103">
        <f t="shared" si="5"/>
        <v>666.66666666666663</v>
      </c>
      <c r="W9" s="103">
        <f t="shared" si="5"/>
        <v>666.66666666666663</v>
      </c>
      <c r="X9" s="103">
        <f t="shared" si="5"/>
        <v>666.66666666666663</v>
      </c>
      <c r="Y9" s="103">
        <f t="shared" si="5"/>
        <v>666.66666666666663</v>
      </c>
      <c r="Z9" s="103">
        <f t="shared" si="5"/>
        <v>666.66666666666663</v>
      </c>
      <c r="AA9" s="103">
        <f t="shared" si="5"/>
        <v>666.66666666666663</v>
      </c>
      <c r="AB9" s="103">
        <f t="shared" si="5"/>
        <v>666.66666666666663</v>
      </c>
      <c r="AC9" s="103">
        <f t="shared" si="5"/>
        <v>666.66666666666663</v>
      </c>
    </row>
    <row r="10" spans="2:29" x14ac:dyDescent="0.25">
      <c r="C10" t="s">
        <v>381</v>
      </c>
      <c r="E10" s="103">
        <f>(E7-SUM($D10:D10))*0.4</f>
        <v>4000</v>
      </c>
      <c r="F10" s="103">
        <f>(F7-SUM($D10:E10))*0.4</f>
        <v>2400</v>
      </c>
      <c r="G10" s="103">
        <f>(G7-SUM($D10:F10))*0.4</f>
        <v>1440</v>
      </c>
      <c r="H10" s="103">
        <f>(H7-SUM($D10:G10))*0.4</f>
        <v>864</v>
      </c>
      <c r="I10" s="103">
        <f>(I7-SUM($D10:H10))*0.4</f>
        <v>518.4</v>
      </c>
      <c r="J10" s="103">
        <f>(J7-SUM($D10:I10))*0.4</f>
        <v>311.04000000000019</v>
      </c>
      <c r="K10" s="103">
        <f>(K7-SUM($D10:J10))*0.4</f>
        <v>186.6239999999998</v>
      </c>
      <c r="L10" s="103">
        <f>(L7-SUM($D10:K10))*0.4</f>
        <v>111.97439999999989</v>
      </c>
      <c r="M10" s="103">
        <f>(M7-SUM($D10:L10))*0.4</f>
        <v>67.184640000000215</v>
      </c>
      <c r="N10" s="103">
        <f>(N7-SUM($D10:M10))*0.4</f>
        <v>40.310784000000424</v>
      </c>
      <c r="O10" s="103">
        <f>(O7-SUM($D10:N10))*0.4</f>
        <v>24.186470399999962</v>
      </c>
      <c r="P10" s="103">
        <f>(P7-SUM($D10:O10))*0.4</f>
        <v>14.511882239999977</v>
      </c>
      <c r="Q10" s="103">
        <f>(Q7-SUM($D10:P10))*0.4</f>
        <v>8.7071293439999859</v>
      </c>
      <c r="R10" s="103">
        <f>(R7-SUM($D10:Q10))*0.4</f>
        <v>5.2242776063998466</v>
      </c>
      <c r="S10" s="103">
        <f>(S7-SUM($D10:R10))*0.4</f>
        <v>3.1345665638400533</v>
      </c>
      <c r="T10" s="103">
        <f>(T7-SUM($D10:S10))*0.4</f>
        <v>1.880739938304032</v>
      </c>
      <c r="U10" s="103">
        <f>(U7-SUM($D10:T10))*0.4</f>
        <v>1.1284439629824192</v>
      </c>
      <c r="V10" s="103">
        <f>(V7-SUM($D10:U10))*0.4</f>
        <v>0.67706637778974255</v>
      </c>
      <c r="W10" s="103">
        <f>(W7-SUM($D10:V10))*0.4</f>
        <v>0.40623982667384556</v>
      </c>
      <c r="X10" s="103">
        <f>(X7-SUM($D10:W10))*0.4</f>
        <v>0.2437438960041618</v>
      </c>
      <c r="Y10" s="103">
        <f>(Y7-SUM($D10:X10))*0.4</f>
        <v>0.14624633760249708</v>
      </c>
      <c r="Z10" s="103">
        <f>(Z7-SUM($D10:Y10))*0.4</f>
        <v>8.7747802561352728E-2</v>
      </c>
      <c r="AA10" s="103">
        <f>(AA7-SUM($D10:Z10))*0.4</f>
        <v>5.264868153681164E-2</v>
      </c>
      <c r="AB10" s="103">
        <f>(AB7-SUM($D10:AA10))*0.4</f>
        <v>3.1589208922378022E-2</v>
      </c>
      <c r="AC10" s="103">
        <f>(AC7-SUM($D10:AB10))*0.4</f>
        <v>1.8953525353572333E-2</v>
      </c>
    </row>
    <row r="11" spans="2:29" x14ac:dyDescent="0.25">
      <c r="E11" s="103"/>
      <c r="F11" s="103"/>
      <c r="G11" s="103"/>
      <c r="H11" s="103"/>
      <c r="I11" s="103"/>
      <c r="J11" s="103"/>
      <c r="K11" s="103"/>
      <c r="L11" s="103"/>
      <c r="M11" s="103"/>
      <c r="N11" s="103"/>
    </row>
    <row r="12" spans="2:29" x14ac:dyDescent="0.25">
      <c r="B12" s="9">
        <v>1</v>
      </c>
      <c r="C12" s="6"/>
      <c r="E12" s="79"/>
      <c r="F12" s="79"/>
      <c r="G12" s="79"/>
      <c r="H12" s="79"/>
      <c r="I12" s="79"/>
      <c r="J12" s="79"/>
      <c r="K12" s="79"/>
      <c r="L12" s="79"/>
      <c r="M12" s="79"/>
      <c r="N12" s="79"/>
    </row>
    <row r="13" spans="2:29" x14ac:dyDescent="0.25">
      <c r="B13" s="9" t="s">
        <v>287</v>
      </c>
      <c r="C13" t="s">
        <v>355</v>
      </c>
      <c r="D13" s="9" t="s">
        <v>326</v>
      </c>
      <c r="E13">
        <f>E7*0.3</f>
        <v>3000</v>
      </c>
      <c r="F13">
        <f t="shared" ref="F13:S13" si="6">F7*0.3</f>
        <v>3000</v>
      </c>
      <c r="G13">
        <f t="shared" si="6"/>
        <v>3000</v>
      </c>
      <c r="H13">
        <f t="shared" si="6"/>
        <v>3000</v>
      </c>
      <c r="I13">
        <f t="shared" si="6"/>
        <v>3000</v>
      </c>
      <c r="J13">
        <f t="shared" si="6"/>
        <v>3000</v>
      </c>
      <c r="K13">
        <f t="shared" si="6"/>
        <v>3000</v>
      </c>
      <c r="L13">
        <f t="shared" si="6"/>
        <v>3000</v>
      </c>
      <c r="M13">
        <f t="shared" si="6"/>
        <v>3000</v>
      </c>
      <c r="N13">
        <f t="shared" si="6"/>
        <v>3000</v>
      </c>
      <c r="O13">
        <f t="shared" si="6"/>
        <v>3000</v>
      </c>
      <c r="P13">
        <f t="shared" si="6"/>
        <v>3000</v>
      </c>
      <c r="Q13">
        <f t="shared" si="6"/>
        <v>3000</v>
      </c>
      <c r="R13">
        <f t="shared" si="6"/>
        <v>3000</v>
      </c>
      <c r="S13">
        <f t="shared" si="6"/>
        <v>3000</v>
      </c>
      <c r="T13">
        <f t="shared" ref="T13:AC13" si="7">T7*0.3</f>
        <v>3000</v>
      </c>
      <c r="U13">
        <f t="shared" si="7"/>
        <v>3000</v>
      </c>
      <c r="V13">
        <f t="shared" si="7"/>
        <v>3000</v>
      </c>
      <c r="W13">
        <f t="shared" si="7"/>
        <v>3000</v>
      </c>
      <c r="X13">
        <f t="shared" si="7"/>
        <v>3000</v>
      </c>
      <c r="Y13">
        <f t="shared" si="7"/>
        <v>3000</v>
      </c>
      <c r="Z13">
        <f t="shared" si="7"/>
        <v>3000</v>
      </c>
      <c r="AA13">
        <f t="shared" si="7"/>
        <v>3000</v>
      </c>
      <c r="AB13">
        <f t="shared" si="7"/>
        <v>3000</v>
      </c>
      <c r="AC13">
        <f t="shared" si="7"/>
        <v>3000</v>
      </c>
    </row>
    <row r="14" spans="2:29" x14ac:dyDescent="0.25">
      <c r="B14" s="9" t="s">
        <v>288</v>
      </c>
      <c r="C14" t="s">
        <v>382</v>
      </c>
      <c r="D14" s="9" t="s">
        <v>315</v>
      </c>
      <c r="E14" s="71">
        <f ca="1">15.5%/(1-IF(E4="MAT",E2,E1))</f>
        <v>0.19374999999999998</v>
      </c>
      <c r="F14" s="71">
        <f t="shared" ref="F14:S14" ca="1" si="8">15.5%/(1-IF(F4="MAT",F2,F1))</f>
        <v>0.19374999999999998</v>
      </c>
      <c r="G14" s="71">
        <f t="shared" ca="1" si="8"/>
        <v>0.19374999999999998</v>
      </c>
      <c r="H14" s="71">
        <f t="shared" ca="1" si="8"/>
        <v>0.19374999999999998</v>
      </c>
      <c r="I14" s="71">
        <f t="shared" ca="1" si="8"/>
        <v>0.19374999999999998</v>
      </c>
      <c r="J14" s="71">
        <f t="shared" ca="1" si="8"/>
        <v>0.19374999999999998</v>
      </c>
      <c r="K14" s="71">
        <f t="shared" ca="1" si="8"/>
        <v>0.22142857142857145</v>
      </c>
      <c r="L14" s="71">
        <f t="shared" ca="1" si="8"/>
        <v>0.22142857142857145</v>
      </c>
      <c r="M14" s="71">
        <f t="shared" ca="1" si="8"/>
        <v>0.22142857142857145</v>
      </c>
      <c r="N14" s="71">
        <f t="shared" ca="1" si="8"/>
        <v>0.22142857142857145</v>
      </c>
      <c r="O14" s="71">
        <f t="shared" ca="1" si="8"/>
        <v>0.22142857142857145</v>
      </c>
      <c r="P14" s="71">
        <f t="shared" ca="1" si="8"/>
        <v>0.22142857142857145</v>
      </c>
      <c r="Q14" s="71">
        <f t="shared" ca="1" si="8"/>
        <v>0.22142857142857145</v>
      </c>
      <c r="R14" s="71">
        <f t="shared" ca="1" si="8"/>
        <v>0.22142857142857145</v>
      </c>
      <c r="S14" s="71">
        <f t="shared" ca="1" si="8"/>
        <v>0.22142857142857145</v>
      </c>
      <c r="T14" s="71">
        <f t="shared" ref="T14:AC14" ca="1" si="9">15.5%/(1-IF(T4="MAT",T2,T1))</f>
        <v>0.22142857142857145</v>
      </c>
      <c r="U14" s="71">
        <f t="shared" ca="1" si="9"/>
        <v>0.22142857142857145</v>
      </c>
      <c r="V14" s="71">
        <f t="shared" ca="1" si="9"/>
        <v>0.22142857142857145</v>
      </c>
      <c r="W14" s="71">
        <f t="shared" ca="1" si="9"/>
        <v>0.22142857142857145</v>
      </c>
      <c r="X14" s="71">
        <f t="shared" ca="1" si="9"/>
        <v>0.22142857142857145</v>
      </c>
      <c r="Y14" s="71">
        <f t="shared" ca="1" si="9"/>
        <v>0.22142857142857145</v>
      </c>
      <c r="Z14" s="71">
        <f t="shared" ca="1" si="9"/>
        <v>0.22142857142857145</v>
      </c>
      <c r="AA14" s="71">
        <f t="shared" ca="1" si="9"/>
        <v>0.22142857142857145</v>
      </c>
      <c r="AB14" s="71">
        <f t="shared" ca="1" si="9"/>
        <v>0.22142857142857145</v>
      </c>
      <c r="AC14" s="71">
        <f t="shared" ca="1" si="9"/>
        <v>0.22142857142857145</v>
      </c>
    </row>
    <row r="15" spans="2:29" x14ac:dyDescent="0.25">
      <c r="B15" s="9" t="s">
        <v>289</v>
      </c>
      <c r="C15" t="s">
        <v>356</v>
      </c>
      <c r="D15" s="9" t="s">
        <v>316</v>
      </c>
      <c r="E15" s="1">
        <f ca="1">E13*E14</f>
        <v>581.24999999999989</v>
      </c>
      <c r="F15" s="1">
        <f t="shared" ref="F15:S15" ca="1" si="10">F13*F14</f>
        <v>581.24999999999989</v>
      </c>
      <c r="G15" s="1">
        <f t="shared" ca="1" si="10"/>
        <v>581.24999999999989</v>
      </c>
      <c r="H15" s="1">
        <f t="shared" ca="1" si="10"/>
        <v>581.24999999999989</v>
      </c>
      <c r="I15" s="1">
        <f t="shared" ca="1" si="10"/>
        <v>581.24999999999989</v>
      </c>
      <c r="J15" s="1">
        <f t="shared" ca="1" si="10"/>
        <v>581.24999999999989</v>
      </c>
      <c r="K15" s="1">
        <f t="shared" ca="1" si="10"/>
        <v>664.28571428571433</v>
      </c>
      <c r="L15" s="1">
        <f t="shared" ca="1" si="10"/>
        <v>664.28571428571433</v>
      </c>
      <c r="M15" s="1">
        <f t="shared" ca="1" si="10"/>
        <v>664.28571428571433</v>
      </c>
      <c r="N15" s="1">
        <f t="shared" ca="1" si="10"/>
        <v>664.28571428571433</v>
      </c>
      <c r="O15" s="1">
        <f t="shared" ca="1" si="10"/>
        <v>664.28571428571433</v>
      </c>
      <c r="P15" s="1">
        <f t="shared" ca="1" si="10"/>
        <v>664.28571428571433</v>
      </c>
      <c r="Q15" s="1">
        <f t="shared" ca="1" si="10"/>
        <v>664.28571428571433</v>
      </c>
      <c r="R15" s="1">
        <f t="shared" ca="1" si="10"/>
        <v>664.28571428571433</v>
      </c>
      <c r="S15" s="1">
        <f t="shared" ca="1" si="10"/>
        <v>664.28571428571433</v>
      </c>
      <c r="T15" s="1">
        <f t="shared" ref="T15:AC15" ca="1" si="11">T13*T14</f>
        <v>664.28571428571433</v>
      </c>
      <c r="U15" s="1">
        <f t="shared" ca="1" si="11"/>
        <v>664.28571428571433</v>
      </c>
      <c r="V15" s="1">
        <f t="shared" ca="1" si="11"/>
        <v>664.28571428571433</v>
      </c>
      <c r="W15" s="1">
        <f t="shared" ca="1" si="11"/>
        <v>664.28571428571433</v>
      </c>
      <c r="X15" s="1">
        <f t="shared" ca="1" si="11"/>
        <v>664.28571428571433</v>
      </c>
      <c r="Y15" s="1">
        <f t="shared" ca="1" si="11"/>
        <v>664.28571428571433</v>
      </c>
      <c r="Z15" s="1">
        <f t="shared" ca="1" si="11"/>
        <v>664.28571428571433</v>
      </c>
      <c r="AA15" s="1">
        <f t="shared" ca="1" si="11"/>
        <v>664.28571428571433</v>
      </c>
      <c r="AB15" s="1">
        <f t="shared" ca="1" si="11"/>
        <v>664.28571428571433</v>
      </c>
      <c r="AC15" s="1">
        <f t="shared" ca="1" si="11"/>
        <v>664.28571428571433</v>
      </c>
    </row>
    <row r="16" spans="2:29" x14ac:dyDescent="0.25">
      <c r="C16" s="6" t="s">
        <v>359</v>
      </c>
      <c r="E16" s="1"/>
      <c r="F16" s="1"/>
      <c r="G16" s="1"/>
      <c r="H16" s="1"/>
      <c r="I16" s="1"/>
      <c r="J16" s="1"/>
      <c r="K16" s="1"/>
      <c r="L16" s="1"/>
      <c r="M16" s="1"/>
      <c r="N16" s="1"/>
    </row>
    <row r="17" spans="2:29" x14ac:dyDescent="0.25">
      <c r="C17" s="6" t="s">
        <v>356</v>
      </c>
      <c r="E17" s="1">
        <f ca="1">E15</f>
        <v>581.24999999999989</v>
      </c>
      <c r="F17" s="1">
        <f t="shared" ref="F17:S17" ca="1" si="12">F15</f>
        <v>581.24999999999989</v>
      </c>
      <c r="G17" s="1">
        <f t="shared" ca="1" si="12"/>
        <v>581.24999999999989</v>
      </c>
      <c r="H17" s="1">
        <f t="shared" ca="1" si="12"/>
        <v>581.24999999999989</v>
      </c>
      <c r="I17" s="1">
        <f t="shared" ca="1" si="12"/>
        <v>581.24999999999989</v>
      </c>
      <c r="J17" s="1">
        <f t="shared" ca="1" si="12"/>
        <v>581.24999999999989</v>
      </c>
      <c r="K17" s="1">
        <f t="shared" ca="1" si="12"/>
        <v>664.28571428571433</v>
      </c>
      <c r="L17" s="1">
        <f t="shared" ca="1" si="12"/>
        <v>664.28571428571433</v>
      </c>
      <c r="M17" s="1">
        <f t="shared" ca="1" si="12"/>
        <v>664.28571428571433</v>
      </c>
      <c r="N17" s="1">
        <f t="shared" ca="1" si="12"/>
        <v>664.28571428571433</v>
      </c>
      <c r="O17" s="1">
        <f t="shared" ca="1" si="12"/>
        <v>664.28571428571433</v>
      </c>
      <c r="P17" s="1">
        <f t="shared" ca="1" si="12"/>
        <v>664.28571428571433</v>
      </c>
      <c r="Q17" s="1">
        <f t="shared" ca="1" si="12"/>
        <v>664.28571428571433</v>
      </c>
      <c r="R17" s="1">
        <f t="shared" ca="1" si="12"/>
        <v>664.28571428571433</v>
      </c>
      <c r="S17" s="1">
        <f t="shared" ca="1" si="12"/>
        <v>664.28571428571433</v>
      </c>
      <c r="T17" s="1">
        <f t="shared" ref="T17:AC17" ca="1" si="13">T15</f>
        <v>664.28571428571433</v>
      </c>
      <c r="U17" s="1">
        <f t="shared" ca="1" si="13"/>
        <v>664.28571428571433</v>
      </c>
      <c r="V17" s="1">
        <f t="shared" ca="1" si="13"/>
        <v>664.28571428571433</v>
      </c>
      <c r="W17" s="1">
        <f t="shared" ca="1" si="13"/>
        <v>664.28571428571433</v>
      </c>
      <c r="X17" s="1">
        <f t="shared" ca="1" si="13"/>
        <v>664.28571428571433</v>
      </c>
      <c r="Y17" s="1">
        <f t="shared" ca="1" si="13"/>
        <v>664.28571428571433</v>
      </c>
      <c r="Z17" s="1">
        <f t="shared" ca="1" si="13"/>
        <v>664.28571428571433</v>
      </c>
      <c r="AA17" s="1">
        <f t="shared" ca="1" si="13"/>
        <v>664.28571428571433</v>
      </c>
      <c r="AB17" s="1">
        <f t="shared" ca="1" si="13"/>
        <v>664.28571428571433</v>
      </c>
      <c r="AC17" s="1">
        <f t="shared" ca="1" si="13"/>
        <v>664.28571428571433</v>
      </c>
    </row>
    <row r="18" spans="2:29" x14ac:dyDescent="0.25">
      <c r="C18" s="6" t="s">
        <v>383</v>
      </c>
      <c r="E18" s="1">
        <f>E9</f>
        <v>666.66666666666663</v>
      </c>
      <c r="F18" s="1">
        <f t="shared" ref="F18:S18" si="14">F9</f>
        <v>666.66666666666663</v>
      </c>
      <c r="G18" s="1">
        <f t="shared" si="14"/>
        <v>666.66666666666663</v>
      </c>
      <c r="H18" s="1">
        <f t="shared" si="14"/>
        <v>666.66666666666663</v>
      </c>
      <c r="I18" s="1">
        <f t="shared" si="14"/>
        <v>666.66666666666663</v>
      </c>
      <c r="J18" s="1">
        <f t="shared" si="14"/>
        <v>666.66666666666663</v>
      </c>
      <c r="K18" s="1">
        <f t="shared" si="14"/>
        <v>666.66666666666663</v>
      </c>
      <c r="L18" s="1">
        <f t="shared" si="14"/>
        <v>666.66666666666663</v>
      </c>
      <c r="M18" s="1">
        <f t="shared" si="14"/>
        <v>666.66666666666663</v>
      </c>
      <c r="N18" s="1">
        <f t="shared" si="14"/>
        <v>666.66666666666663</v>
      </c>
      <c r="O18" s="1">
        <f t="shared" si="14"/>
        <v>666.66666666666663</v>
      </c>
      <c r="P18" s="1">
        <f t="shared" si="14"/>
        <v>666.66666666666663</v>
      </c>
      <c r="Q18" s="1">
        <f t="shared" si="14"/>
        <v>666.66666666666663</v>
      </c>
      <c r="R18" s="1">
        <f t="shared" si="14"/>
        <v>666.66666666666663</v>
      </c>
      <c r="S18" s="1">
        <f t="shared" si="14"/>
        <v>666.66666666666663</v>
      </c>
      <c r="T18" s="1">
        <f t="shared" ref="T18:AC18" si="15">T9</f>
        <v>666.66666666666663</v>
      </c>
      <c r="U18" s="1">
        <f t="shared" si="15"/>
        <v>666.66666666666663</v>
      </c>
      <c r="V18" s="1">
        <f t="shared" si="15"/>
        <v>666.66666666666663</v>
      </c>
      <c r="W18" s="1">
        <f t="shared" si="15"/>
        <v>666.66666666666663</v>
      </c>
      <c r="X18" s="1">
        <f t="shared" si="15"/>
        <v>666.66666666666663</v>
      </c>
      <c r="Y18" s="1">
        <f t="shared" si="15"/>
        <v>666.66666666666663</v>
      </c>
      <c r="Z18" s="1">
        <f t="shared" si="15"/>
        <v>666.66666666666663</v>
      </c>
      <c r="AA18" s="1">
        <f t="shared" si="15"/>
        <v>666.66666666666663</v>
      </c>
      <c r="AB18" s="1">
        <f t="shared" si="15"/>
        <v>666.66666666666663</v>
      </c>
      <c r="AC18" s="1">
        <f t="shared" si="15"/>
        <v>666.66666666666663</v>
      </c>
    </row>
    <row r="19" spans="2:29" x14ac:dyDescent="0.25">
      <c r="C19" s="6" t="s">
        <v>384</v>
      </c>
      <c r="E19" s="1">
        <f>E10</f>
        <v>4000</v>
      </c>
      <c r="F19" s="1">
        <f t="shared" ref="F19:S19" si="16">F10</f>
        <v>2400</v>
      </c>
      <c r="G19" s="1">
        <f t="shared" si="16"/>
        <v>1440</v>
      </c>
      <c r="H19" s="1">
        <f t="shared" si="16"/>
        <v>864</v>
      </c>
      <c r="I19" s="1">
        <f t="shared" si="16"/>
        <v>518.4</v>
      </c>
      <c r="J19" s="1">
        <f t="shared" si="16"/>
        <v>311.04000000000019</v>
      </c>
      <c r="K19" s="1">
        <f t="shared" si="16"/>
        <v>186.6239999999998</v>
      </c>
      <c r="L19" s="1">
        <f t="shared" si="16"/>
        <v>111.97439999999989</v>
      </c>
      <c r="M19" s="1">
        <f t="shared" si="16"/>
        <v>67.184640000000215</v>
      </c>
      <c r="N19" s="1">
        <f t="shared" si="16"/>
        <v>40.310784000000424</v>
      </c>
      <c r="O19" s="1">
        <f t="shared" si="16"/>
        <v>24.186470399999962</v>
      </c>
      <c r="P19" s="1">
        <f t="shared" si="16"/>
        <v>14.511882239999977</v>
      </c>
      <c r="Q19" s="1">
        <f t="shared" si="16"/>
        <v>8.7071293439999859</v>
      </c>
      <c r="R19" s="1">
        <f t="shared" si="16"/>
        <v>5.2242776063998466</v>
      </c>
      <c r="S19" s="1">
        <f t="shared" si="16"/>
        <v>3.1345665638400533</v>
      </c>
      <c r="T19" s="1">
        <f t="shared" ref="T19:AC19" si="17">T10</f>
        <v>1.880739938304032</v>
      </c>
      <c r="U19" s="1">
        <f t="shared" si="17"/>
        <v>1.1284439629824192</v>
      </c>
      <c r="V19" s="1">
        <f t="shared" si="17"/>
        <v>0.67706637778974255</v>
      </c>
      <c r="W19" s="1">
        <f t="shared" si="17"/>
        <v>0.40623982667384556</v>
      </c>
      <c r="X19" s="1">
        <f t="shared" si="17"/>
        <v>0.2437438960041618</v>
      </c>
      <c r="Y19" s="1">
        <f t="shared" si="17"/>
        <v>0.14624633760249708</v>
      </c>
      <c r="Z19" s="1">
        <f t="shared" si="17"/>
        <v>8.7747802561352728E-2</v>
      </c>
      <c r="AA19" s="1">
        <f t="shared" si="17"/>
        <v>5.264868153681164E-2</v>
      </c>
      <c r="AB19" s="1">
        <f t="shared" si="17"/>
        <v>3.1589208922378022E-2</v>
      </c>
      <c r="AC19" s="1">
        <f t="shared" si="17"/>
        <v>1.8953525353572333E-2</v>
      </c>
    </row>
    <row r="20" spans="2:29" x14ac:dyDescent="0.25">
      <c r="B20" s="9" t="s">
        <v>360</v>
      </c>
      <c r="C20" s="6" t="s">
        <v>385</v>
      </c>
      <c r="E20" s="1">
        <f ca="1">E17+E18-E19</f>
        <v>-2752.0833333333335</v>
      </c>
      <c r="F20" s="1">
        <f t="shared" ref="F20:S20" ca="1" si="18">F17+F18-F19</f>
        <v>-1152.0833333333335</v>
      </c>
      <c r="G20" s="1">
        <f t="shared" ca="1" si="18"/>
        <v>-192.08333333333348</v>
      </c>
      <c r="H20" s="1">
        <f t="shared" ca="1" si="18"/>
        <v>383.91666666666652</v>
      </c>
      <c r="I20" s="1">
        <f t="shared" ca="1" si="18"/>
        <v>729.51666666666654</v>
      </c>
      <c r="J20" s="1">
        <f t="shared" ca="1" si="18"/>
        <v>936.87666666666632</v>
      </c>
      <c r="K20" s="1">
        <f t="shared" ca="1" si="18"/>
        <v>1144.3283809523812</v>
      </c>
      <c r="L20" s="1">
        <f t="shared" ca="1" si="18"/>
        <v>1218.9779809523811</v>
      </c>
      <c r="M20" s="1">
        <f t="shared" ca="1" si="18"/>
        <v>1263.7677409523808</v>
      </c>
      <c r="N20" s="1">
        <f t="shared" ca="1" si="18"/>
        <v>1290.6415969523805</v>
      </c>
      <c r="O20" s="1">
        <f t="shared" ca="1" si="18"/>
        <v>1306.765910552381</v>
      </c>
      <c r="P20" s="1">
        <f t="shared" ca="1" si="18"/>
        <v>1316.440498712381</v>
      </c>
      <c r="Q20" s="1">
        <f t="shared" ca="1" si="18"/>
        <v>1322.2452516083811</v>
      </c>
      <c r="R20" s="1">
        <f t="shared" ca="1" si="18"/>
        <v>1325.728103345981</v>
      </c>
      <c r="S20" s="1">
        <f t="shared" ca="1" si="18"/>
        <v>1327.8178143885409</v>
      </c>
      <c r="T20" s="1">
        <f t="shared" ref="T20:AC20" ca="1" si="19">T17+T18-T19</f>
        <v>1329.0716410140769</v>
      </c>
      <c r="U20" s="1">
        <f t="shared" ca="1" si="19"/>
        <v>1329.8239369893986</v>
      </c>
      <c r="V20" s="1">
        <f t="shared" ca="1" si="19"/>
        <v>1330.2753145745912</v>
      </c>
      <c r="W20" s="1">
        <f t="shared" ca="1" si="19"/>
        <v>1330.5461411257072</v>
      </c>
      <c r="X20" s="1">
        <f t="shared" ca="1" si="19"/>
        <v>1330.7086370563768</v>
      </c>
      <c r="Y20" s="1">
        <f t="shared" ca="1" si="19"/>
        <v>1330.8061346147786</v>
      </c>
      <c r="Z20" s="1">
        <f t="shared" ca="1" si="19"/>
        <v>1330.8646331498196</v>
      </c>
      <c r="AA20" s="1">
        <f t="shared" ca="1" si="19"/>
        <v>1330.8997322708442</v>
      </c>
      <c r="AB20" s="1">
        <f t="shared" ca="1" si="19"/>
        <v>1330.9207917434585</v>
      </c>
      <c r="AC20" s="1">
        <f t="shared" ca="1" si="19"/>
        <v>1330.9334274270275</v>
      </c>
    </row>
    <row r="21" spans="2:29" x14ac:dyDescent="0.25">
      <c r="B21" s="9" t="s">
        <v>363</v>
      </c>
      <c r="C21" t="s">
        <v>271</v>
      </c>
      <c r="D21" s="9" t="s">
        <v>361</v>
      </c>
      <c r="E21" s="1">
        <f>IF(E3="No",(E20*E1),0)</f>
        <v>0</v>
      </c>
      <c r="F21" s="1">
        <f t="shared" ref="F21:S21" si="20">IF(F3="No",(F20*F1),0)</f>
        <v>0</v>
      </c>
      <c r="G21" s="1">
        <f t="shared" si="20"/>
        <v>0</v>
      </c>
      <c r="H21" s="1">
        <f t="shared" si="20"/>
        <v>0</v>
      </c>
      <c r="I21" s="1">
        <f t="shared" si="20"/>
        <v>0</v>
      </c>
      <c r="J21" s="1">
        <f t="shared" si="20"/>
        <v>0</v>
      </c>
      <c r="K21" s="1">
        <f t="shared" ca="1" si="20"/>
        <v>343.29851428571436</v>
      </c>
      <c r="L21" s="1">
        <f t="shared" ca="1" si="20"/>
        <v>365.69339428571431</v>
      </c>
      <c r="M21" s="1">
        <f t="shared" ca="1" si="20"/>
        <v>379.13032228571421</v>
      </c>
      <c r="N21" s="1">
        <f t="shared" ca="1" si="20"/>
        <v>387.19247908571413</v>
      </c>
      <c r="O21" s="1">
        <f t="shared" ca="1" si="20"/>
        <v>392.02977316571429</v>
      </c>
      <c r="P21" s="1">
        <f t="shared" ca="1" si="20"/>
        <v>394.93214961371427</v>
      </c>
      <c r="Q21" s="1">
        <f t="shared" ca="1" si="20"/>
        <v>396.67357548251431</v>
      </c>
      <c r="R21" s="1">
        <f t="shared" ca="1" si="20"/>
        <v>397.71843100379431</v>
      </c>
      <c r="S21" s="1">
        <f t="shared" ca="1" si="20"/>
        <v>398.34534431656226</v>
      </c>
      <c r="T21" s="1">
        <f t="shared" ref="T21:AC21" ca="1" si="21">IF(T3="No",(T20*T1),0)</f>
        <v>398.72149230422309</v>
      </c>
      <c r="U21" s="1">
        <f t="shared" ca="1" si="21"/>
        <v>398.94718109681958</v>
      </c>
      <c r="V21" s="1">
        <f t="shared" ca="1" si="21"/>
        <v>399.08259437237734</v>
      </c>
      <c r="W21" s="1">
        <f t="shared" ca="1" si="21"/>
        <v>399.16384233771214</v>
      </c>
      <c r="X21" s="1">
        <f t="shared" ca="1" si="21"/>
        <v>399.21259111691302</v>
      </c>
      <c r="Y21" s="1">
        <f t="shared" ca="1" si="21"/>
        <v>399.24184038443354</v>
      </c>
      <c r="Z21" s="1">
        <f t="shared" ca="1" si="21"/>
        <v>399.25938994494589</v>
      </c>
      <c r="AA21" s="1">
        <f t="shared" ca="1" si="21"/>
        <v>399.26991968125327</v>
      </c>
      <c r="AB21" s="1">
        <f t="shared" ca="1" si="21"/>
        <v>399.27623752303754</v>
      </c>
      <c r="AC21" s="1">
        <f t="shared" ca="1" si="21"/>
        <v>399.28002822810822</v>
      </c>
    </row>
    <row r="22" spans="2:29" x14ac:dyDescent="0.25">
      <c r="B22" s="9" t="s">
        <v>364</v>
      </c>
      <c r="C22" t="s">
        <v>272</v>
      </c>
      <c r="D22" s="9" t="s">
        <v>362</v>
      </c>
      <c r="E22" s="1">
        <f ca="1">E17*E2</f>
        <v>116.24999999999999</v>
      </c>
      <c r="F22" s="1">
        <f t="shared" ref="F22:S22" ca="1" si="22">F17*F2</f>
        <v>116.24999999999999</v>
      </c>
      <c r="G22" s="1">
        <f t="shared" ca="1" si="22"/>
        <v>116.24999999999999</v>
      </c>
      <c r="H22" s="1">
        <f t="shared" ca="1" si="22"/>
        <v>116.24999999999999</v>
      </c>
      <c r="I22" s="1">
        <f t="shared" ca="1" si="22"/>
        <v>116.24999999999999</v>
      </c>
      <c r="J22" s="1">
        <f t="shared" ca="1" si="22"/>
        <v>116.24999999999999</v>
      </c>
      <c r="K22" s="1">
        <f t="shared" ca="1" si="22"/>
        <v>132.85714285714286</v>
      </c>
      <c r="L22" s="1">
        <f t="shared" ca="1" si="22"/>
        <v>132.85714285714286</v>
      </c>
      <c r="M22" s="1">
        <f t="shared" ca="1" si="22"/>
        <v>132.85714285714286</v>
      </c>
      <c r="N22" s="1">
        <f t="shared" ca="1" si="22"/>
        <v>132.85714285714286</v>
      </c>
      <c r="O22" s="1">
        <f t="shared" ca="1" si="22"/>
        <v>132.85714285714286</v>
      </c>
      <c r="P22" s="1">
        <f t="shared" ca="1" si="22"/>
        <v>132.85714285714286</v>
      </c>
      <c r="Q22" s="1">
        <f t="shared" ca="1" si="22"/>
        <v>132.85714285714286</v>
      </c>
      <c r="R22" s="1">
        <f t="shared" ca="1" si="22"/>
        <v>132.85714285714286</v>
      </c>
      <c r="S22" s="1">
        <f t="shared" ca="1" si="22"/>
        <v>132.85714285714286</v>
      </c>
      <c r="T22" s="1">
        <f t="shared" ref="T22:AC22" ca="1" si="23">T17*T2</f>
        <v>132.85714285714286</v>
      </c>
      <c r="U22" s="1">
        <f t="shared" ca="1" si="23"/>
        <v>132.85714285714286</v>
      </c>
      <c r="V22" s="1">
        <f t="shared" ca="1" si="23"/>
        <v>132.85714285714286</v>
      </c>
      <c r="W22" s="1">
        <f t="shared" ca="1" si="23"/>
        <v>132.85714285714286</v>
      </c>
      <c r="X22" s="1">
        <f t="shared" ca="1" si="23"/>
        <v>132.85714285714286</v>
      </c>
      <c r="Y22" s="1">
        <f t="shared" ca="1" si="23"/>
        <v>132.85714285714286</v>
      </c>
      <c r="Z22" s="1">
        <f t="shared" ca="1" si="23"/>
        <v>132.85714285714286</v>
      </c>
      <c r="AA22" s="1">
        <f t="shared" ca="1" si="23"/>
        <v>132.85714285714286</v>
      </c>
      <c r="AB22" s="1">
        <f t="shared" ca="1" si="23"/>
        <v>132.85714285714286</v>
      </c>
      <c r="AC22" s="1">
        <f t="shared" ca="1" si="23"/>
        <v>132.85714285714286</v>
      </c>
    </row>
    <row r="23" spans="2:29" x14ac:dyDescent="0.25">
      <c r="B23" s="9" t="s">
        <v>365</v>
      </c>
      <c r="C23" t="s">
        <v>242</v>
      </c>
      <c r="D23" s="9" t="s">
        <v>368</v>
      </c>
      <c r="E23" s="1">
        <f ca="1">MAX(E21:E22)</f>
        <v>116.24999999999999</v>
      </c>
      <c r="F23" s="1">
        <f t="shared" ref="F23:S23" ca="1" si="24">MAX(F21:F22)</f>
        <v>116.24999999999999</v>
      </c>
      <c r="G23" s="1">
        <f t="shared" ca="1" si="24"/>
        <v>116.24999999999999</v>
      </c>
      <c r="H23" s="1">
        <f t="shared" ca="1" si="24"/>
        <v>116.24999999999999</v>
      </c>
      <c r="I23" s="1">
        <f t="shared" ca="1" si="24"/>
        <v>116.24999999999999</v>
      </c>
      <c r="J23" s="1">
        <f t="shared" ca="1" si="24"/>
        <v>116.24999999999999</v>
      </c>
      <c r="K23" s="1">
        <f t="shared" ca="1" si="24"/>
        <v>343.29851428571436</v>
      </c>
      <c r="L23" s="1">
        <f t="shared" ca="1" si="24"/>
        <v>365.69339428571431</v>
      </c>
      <c r="M23" s="1">
        <f t="shared" ca="1" si="24"/>
        <v>379.13032228571421</v>
      </c>
      <c r="N23" s="1">
        <f t="shared" ca="1" si="24"/>
        <v>387.19247908571413</v>
      </c>
      <c r="O23" s="1">
        <f t="shared" ca="1" si="24"/>
        <v>392.02977316571429</v>
      </c>
      <c r="P23" s="1">
        <f t="shared" ca="1" si="24"/>
        <v>394.93214961371427</v>
      </c>
      <c r="Q23" s="1">
        <f t="shared" ca="1" si="24"/>
        <v>396.67357548251431</v>
      </c>
      <c r="R23" s="1">
        <f t="shared" ca="1" si="24"/>
        <v>397.71843100379431</v>
      </c>
      <c r="S23" s="1">
        <f t="shared" ca="1" si="24"/>
        <v>398.34534431656226</v>
      </c>
      <c r="T23" s="1">
        <f t="shared" ref="T23:AC23" ca="1" si="25">MAX(T21:T22)</f>
        <v>398.72149230422309</v>
      </c>
      <c r="U23" s="1">
        <f t="shared" ca="1" si="25"/>
        <v>398.94718109681958</v>
      </c>
      <c r="V23" s="1">
        <f t="shared" ca="1" si="25"/>
        <v>399.08259437237734</v>
      </c>
      <c r="W23" s="1">
        <f t="shared" ca="1" si="25"/>
        <v>399.16384233771214</v>
      </c>
      <c r="X23" s="1">
        <f t="shared" ca="1" si="25"/>
        <v>399.21259111691302</v>
      </c>
      <c r="Y23" s="1">
        <f t="shared" ca="1" si="25"/>
        <v>399.24184038443354</v>
      </c>
      <c r="Z23" s="1">
        <f t="shared" ca="1" si="25"/>
        <v>399.25938994494589</v>
      </c>
      <c r="AA23" s="1">
        <f t="shared" ca="1" si="25"/>
        <v>399.26991968125327</v>
      </c>
      <c r="AB23" s="1">
        <f t="shared" ca="1" si="25"/>
        <v>399.27623752303754</v>
      </c>
      <c r="AC23" s="1">
        <f t="shared" ca="1" si="25"/>
        <v>399.28002822810822</v>
      </c>
    </row>
    <row r="24" spans="2:29" x14ac:dyDescent="0.25">
      <c r="B24" s="9" t="s">
        <v>366</v>
      </c>
      <c r="C24" t="s">
        <v>357</v>
      </c>
      <c r="D24" s="9" t="s">
        <v>371</v>
      </c>
      <c r="E24" s="1">
        <f t="shared" ref="E24:S24" ca="1" si="26">E23-E32</f>
        <v>116.24999999999999</v>
      </c>
      <c r="F24" s="1">
        <f t="shared" ca="1" si="26"/>
        <v>116.24999999999999</v>
      </c>
      <c r="G24" s="1">
        <f t="shared" ca="1" si="26"/>
        <v>116.24999999999999</v>
      </c>
      <c r="H24" s="1">
        <f t="shared" ca="1" si="26"/>
        <v>116.24999999999999</v>
      </c>
      <c r="I24" s="1">
        <f t="shared" ca="1" si="26"/>
        <v>116.24999999999999</v>
      </c>
      <c r="J24" s="1">
        <f t="shared" ca="1" si="26"/>
        <v>116.24999999999999</v>
      </c>
      <c r="K24" s="1">
        <f t="shared" ca="1" si="26"/>
        <v>132.85714285714286</v>
      </c>
      <c r="L24" s="1">
        <f t="shared" ca="1" si="26"/>
        <v>132.85714285714286</v>
      </c>
      <c r="M24" s="1">
        <f t="shared" ca="1" si="26"/>
        <v>132.85714285714286</v>
      </c>
      <c r="N24" s="1">
        <f t="shared" ca="1" si="26"/>
        <v>379.24328137142857</v>
      </c>
      <c r="O24" s="1">
        <f t="shared" ca="1" si="26"/>
        <v>392.02977316571429</v>
      </c>
      <c r="P24" s="1">
        <f t="shared" ca="1" si="26"/>
        <v>394.93214961371427</v>
      </c>
      <c r="Q24" s="1">
        <f t="shared" ca="1" si="26"/>
        <v>396.67357548251431</v>
      </c>
      <c r="R24" s="1">
        <f t="shared" ca="1" si="26"/>
        <v>397.71843100379431</v>
      </c>
      <c r="S24" s="1">
        <f t="shared" ca="1" si="26"/>
        <v>398.34534431656226</v>
      </c>
      <c r="T24" s="1">
        <f t="shared" ref="T24:AC24" ca="1" si="27">T23-T32</f>
        <v>398.72149230422309</v>
      </c>
      <c r="U24" s="1">
        <f t="shared" ca="1" si="27"/>
        <v>398.94718109681958</v>
      </c>
      <c r="V24" s="1">
        <f t="shared" ca="1" si="27"/>
        <v>399.08259437237734</v>
      </c>
      <c r="W24" s="1">
        <f t="shared" ca="1" si="27"/>
        <v>399.16384233771214</v>
      </c>
      <c r="X24" s="1">
        <f t="shared" ca="1" si="27"/>
        <v>399.21259111691302</v>
      </c>
      <c r="Y24" s="1">
        <f t="shared" ca="1" si="27"/>
        <v>399.24184038443354</v>
      </c>
      <c r="Z24" s="1">
        <f t="shared" ca="1" si="27"/>
        <v>399.25938994494589</v>
      </c>
      <c r="AA24" s="1">
        <f t="shared" ca="1" si="27"/>
        <v>399.26991968125327</v>
      </c>
      <c r="AB24" s="1">
        <f t="shared" ca="1" si="27"/>
        <v>399.27623752303754</v>
      </c>
      <c r="AC24" s="1">
        <f t="shared" ca="1" si="27"/>
        <v>399.28002822810822</v>
      </c>
    </row>
    <row r="25" spans="2:29" x14ac:dyDescent="0.25">
      <c r="B25" s="9" t="s">
        <v>367</v>
      </c>
      <c r="C25" s="6" t="s">
        <v>358</v>
      </c>
      <c r="D25" s="106" t="s">
        <v>372</v>
      </c>
      <c r="E25" s="78">
        <f ca="1">E24/E15</f>
        <v>0.2</v>
      </c>
      <c r="F25" s="78">
        <f t="shared" ref="F25:S25" ca="1" si="28">F24/F15</f>
        <v>0.2</v>
      </c>
      <c r="G25" s="78">
        <f t="shared" ca="1" si="28"/>
        <v>0.2</v>
      </c>
      <c r="H25" s="78">
        <f t="shared" ca="1" si="28"/>
        <v>0.2</v>
      </c>
      <c r="I25" s="78">
        <f t="shared" ca="1" si="28"/>
        <v>0.2</v>
      </c>
      <c r="J25" s="78">
        <f t="shared" ca="1" si="28"/>
        <v>0.2</v>
      </c>
      <c r="K25" s="78">
        <f t="shared" ca="1" si="28"/>
        <v>0.19999999999999998</v>
      </c>
      <c r="L25" s="78">
        <f t="shared" ca="1" si="28"/>
        <v>0.19999999999999998</v>
      </c>
      <c r="M25" s="78">
        <f t="shared" ca="1" si="28"/>
        <v>0.19999999999999998</v>
      </c>
      <c r="N25" s="78">
        <f t="shared" ca="1" si="28"/>
        <v>0.57090386443010743</v>
      </c>
      <c r="O25" s="78">
        <f t="shared" ca="1" si="28"/>
        <v>0.59015234670107519</v>
      </c>
      <c r="P25" s="78">
        <f t="shared" ca="1" si="28"/>
        <v>0.59452151554752686</v>
      </c>
      <c r="Q25" s="78">
        <f t="shared" ca="1" si="28"/>
        <v>0.59714301685539783</v>
      </c>
      <c r="R25" s="78">
        <f t="shared" ca="1" si="28"/>
        <v>0.59871591764012044</v>
      </c>
      <c r="S25" s="78">
        <f t="shared" ca="1" si="28"/>
        <v>0.5996596581109539</v>
      </c>
      <c r="T25" s="78">
        <f t="shared" ref="T25:AC25" ca="1" si="29">T24/T15</f>
        <v>0.60022590239345408</v>
      </c>
      <c r="U25" s="78">
        <f t="shared" ca="1" si="29"/>
        <v>0.60056564896295417</v>
      </c>
      <c r="V25" s="78">
        <f t="shared" ca="1" si="29"/>
        <v>0.60076949690465398</v>
      </c>
      <c r="W25" s="78">
        <f t="shared" ca="1" si="29"/>
        <v>0.60089180566967415</v>
      </c>
      <c r="X25" s="78">
        <f t="shared" ca="1" si="29"/>
        <v>0.60096519092868617</v>
      </c>
      <c r="Y25" s="78">
        <f t="shared" ca="1" si="29"/>
        <v>0.60100922208409346</v>
      </c>
      <c r="Z25" s="78">
        <f t="shared" ca="1" si="29"/>
        <v>0.60103564077733784</v>
      </c>
      <c r="AA25" s="78">
        <f t="shared" ca="1" si="29"/>
        <v>0.60105149199328445</v>
      </c>
      <c r="AB25" s="78">
        <f t="shared" ca="1" si="29"/>
        <v>0.60106100272285212</v>
      </c>
      <c r="AC25" s="78">
        <f t="shared" ca="1" si="29"/>
        <v>0.60106670916059302</v>
      </c>
    </row>
    <row r="26" spans="2:29" x14ac:dyDescent="0.25">
      <c r="C26" s="104" t="s">
        <v>386</v>
      </c>
      <c r="D26" s="106"/>
      <c r="E26" s="109">
        <f>(E19-E18)*E2</f>
        <v>666.66666666666674</v>
      </c>
      <c r="F26" s="109">
        <f t="shared" ref="F26:S26" si="30">(F19-F18)*F2</f>
        <v>346.66666666666674</v>
      </c>
      <c r="G26" s="109">
        <f t="shared" si="30"/>
        <v>154.66666666666669</v>
      </c>
      <c r="H26" s="109">
        <f t="shared" si="30"/>
        <v>39.466666666666676</v>
      </c>
      <c r="I26" s="109">
        <f t="shared" si="30"/>
        <v>-29.653333333333332</v>
      </c>
      <c r="J26" s="109">
        <f t="shared" si="30"/>
        <v>-71.125333333333288</v>
      </c>
      <c r="K26" s="109">
        <f t="shared" si="30"/>
        <v>-96.008533333333375</v>
      </c>
      <c r="L26" s="109">
        <f t="shared" si="30"/>
        <v>-110.93845333333334</v>
      </c>
      <c r="M26" s="109">
        <f t="shared" si="30"/>
        <v>-119.89640533333329</v>
      </c>
      <c r="N26" s="109">
        <f t="shared" si="30"/>
        <v>-125.27117653333323</v>
      </c>
      <c r="O26" s="109">
        <f t="shared" si="30"/>
        <v>-128.49603925333335</v>
      </c>
      <c r="P26" s="109">
        <f t="shared" si="30"/>
        <v>-130.43095688533333</v>
      </c>
      <c r="Q26" s="109">
        <f t="shared" si="30"/>
        <v>-131.59190746453334</v>
      </c>
      <c r="R26" s="109">
        <f t="shared" si="30"/>
        <v>-132.28847781205337</v>
      </c>
      <c r="S26" s="109">
        <f t="shared" si="30"/>
        <v>-132.70642002056533</v>
      </c>
      <c r="T26" s="109">
        <f t="shared" ref="T26:AC26" si="31">(T19-T18)*T2</f>
        <v>-132.95718534567251</v>
      </c>
      <c r="U26" s="109">
        <f t="shared" si="31"/>
        <v>-133.10764454073686</v>
      </c>
      <c r="V26" s="109">
        <f t="shared" si="31"/>
        <v>-133.19792005777538</v>
      </c>
      <c r="W26" s="109">
        <f t="shared" si="31"/>
        <v>-133.25208536799855</v>
      </c>
      <c r="X26" s="109">
        <f t="shared" si="31"/>
        <v>-133.28458455413249</v>
      </c>
      <c r="Y26" s="109">
        <f t="shared" si="31"/>
        <v>-133.30408406581282</v>
      </c>
      <c r="Z26" s="109">
        <f t="shared" si="31"/>
        <v>-133.31578377282105</v>
      </c>
      <c r="AA26" s="109">
        <f t="shared" si="31"/>
        <v>-133.32280359702597</v>
      </c>
      <c r="AB26" s="109">
        <f t="shared" si="31"/>
        <v>-133.32701549154885</v>
      </c>
      <c r="AC26" s="109">
        <f t="shared" si="31"/>
        <v>-133.3295426282626</v>
      </c>
    </row>
    <row r="27" spans="2:29" x14ac:dyDescent="0.25">
      <c r="C27" s="104"/>
      <c r="D27" s="106"/>
      <c r="E27" s="109"/>
      <c r="F27" s="109"/>
      <c r="G27" s="109"/>
      <c r="H27" s="109"/>
      <c r="I27" s="109"/>
      <c r="J27" s="109"/>
      <c r="K27" s="109"/>
      <c r="L27" s="109"/>
      <c r="M27" s="109"/>
      <c r="N27" s="109"/>
    </row>
    <row r="28" spans="2:29" x14ac:dyDescent="0.25">
      <c r="B28" s="107">
        <v>3</v>
      </c>
      <c r="C28" s="105" t="s">
        <v>282</v>
      </c>
      <c r="D28" s="107"/>
      <c r="E28" s="101"/>
      <c r="F28" s="101"/>
      <c r="G28" s="101"/>
      <c r="H28" s="101"/>
      <c r="I28" s="101"/>
      <c r="J28" s="101"/>
      <c r="K28" s="101"/>
      <c r="L28" s="101"/>
      <c r="M28" s="101"/>
      <c r="N28" s="101"/>
    </row>
    <row r="29" spans="2:29" x14ac:dyDescent="0.25">
      <c r="B29" s="107" t="s">
        <v>303</v>
      </c>
      <c r="C29" s="101" t="s">
        <v>273</v>
      </c>
      <c r="D29" s="107" t="s">
        <v>336</v>
      </c>
      <c r="E29" s="101">
        <v>0</v>
      </c>
      <c r="F29" s="102">
        <f ca="1">E33</f>
        <v>116.24999999999999</v>
      </c>
      <c r="G29" s="102">
        <f t="shared" ref="G29:S29" ca="1" si="32">F33</f>
        <v>232.49999999999997</v>
      </c>
      <c r="H29" s="102">
        <f t="shared" ca="1" si="32"/>
        <v>348.74999999999994</v>
      </c>
      <c r="I29" s="102">
        <f t="shared" ca="1" si="32"/>
        <v>464.99999999999994</v>
      </c>
      <c r="J29" s="102">
        <f t="shared" ca="1" si="32"/>
        <v>581.24999999999989</v>
      </c>
      <c r="K29" s="102">
        <f t="shared" ca="1" si="32"/>
        <v>697.49999999999989</v>
      </c>
      <c r="L29" s="102">
        <f t="shared" ca="1" si="32"/>
        <v>487.05862857142836</v>
      </c>
      <c r="M29" s="102">
        <f t="shared" ca="1" si="32"/>
        <v>254.22237714285691</v>
      </c>
      <c r="N29" s="102">
        <f t="shared" ca="1" si="32"/>
        <v>7.9491977142855603</v>
      </c>
      <c r="O29" s="102">
        <f t="shared" ca="1" si="32"/>
        <v>0</v>
      </c>
      <c r="P29" s="102">
        <f t="shared" ca="1" si="32"/>
        <v>0</v>
      </c>
      <c r="Q29" s="102">
        <f t="shared" ca="1" si="32"/>
        <v>0</v>
      </c>
      <c r="R29" s="102">
        <f t="shared" ca="1" si="32"/>
        <v>0</v>
      </c>
      <c r="S29" s="102">
        <f t="shared" ca="1" si="32"/>
        <v>0</v>
      </c>
      <c r="T29" s="102">
        <f t="shared" ref="T29:AC29" ca="1" si="33">S33</f>
        <v>0</v>
      </c>
      <c r="U29" s="102">
        <f t="shared" ca="1" si="33"/>
        <v>0</v>
      </c>
      <c r="V29" s="102">
        <f t="shared" ca="1" si="33"/>
        <v>0</v>
      </c>
      <c r="W29" s="102">
        <f t="shared" ca="1" si="33"/>
        <v>0</v>
      </c>
      <c r="X29" s="102">
        <f t="shared" ca="1" si="33"/>
        <v>0</v>
      </c>
      <c r="Y29" s="102">
        <f t="shared" ca="1" si="33"/>
        <v>0</v>
      </c>
      <c r="Z29" s="102">
        <f t="shared" ca="1" si="33"/>
        <v>0</v>
      </c>
      <c r="AA29" s="102">
        <f t="shared" ca="1" si="33"/>
        <v>0</v>
      </c>
      <c r="AB29" s="102">
        <f t="shared" ca="1" si="33"/>
        <v>0</v>
      </c>
      <c r="AC29" s="102">
        <f t="shared" ca="1" si="33"/>
        <v>0</v>
      </c>
    </row>
    <row r="30" spans="2:29" x14ac:dyDescent="0.25">
      <c r="B30" s="107" t="s">
        <v>304</v>
      </c>
      <c r="C30" s="101" t="s">
        <v>233</v>
      </c>
      <c r="D30" s="107" t="s">
        <v>373</v>
      </c>
      <c r="E30" s="102">
        <f t="shared" ref="E30:S30" ca="1" si="34">IF(E4="MAT",E22-E21,0)</f>
        <v>116.24999999999999</v>
      </c>
      <c r="F30" s="102">
        <f t="shared" ca="1" si="34"/>
        <v>116.24999999999999</v>
      </c>
      <c r="G30" s="102">
        <f t="shared" ca="1" si="34"/>
        <v>116.24999999999999</v>
      </c>
      <c r="H30" s="102">
        <f t="shared" ca="1" si="34"/>
        <v>116.24999999999999</v>
      </c>
      <c r="I30" s="102">
        <f t="shared" ca="1" si="34"/>
        <v>116.24999999999999</v>
      </c>
      <c r="J30" s="102">
        <f t="shared" ca="1" si="34"/>
        <v>116.24999999999999</v>
      </c>
      <c r="K30" s="102">
        <f t="shared" ca="1" si="34"/>
        <v>0</v>
      </c>
      <c r="L30" s="102">
        <f t="shared" ca="1" si="34"/>
        <v>0</v>
      </c>
      <c r="M30" s="102">
        <f t="shared" ca="1" si="34"/>
        <v>0</v>
      </c>
      <c r="N30" s="102">
        <f t="shared" ca="1" si="34"/>
        <v>0</v>
      </c>
      <c r="O30" s="102">
        <f t="shared" ca="1" si="34"/>
        <v>0</v>
      </c>
      <c r="P30" s="102">
        <f t="shared" ca="1" si="34"/>
        <v>0</v>
      </c>
      <c r="Q30" s="102">
        <f t="shared" ca="1" si="34"/>
        <v>0</v>
      </c>
      <c r="R30" s="102">
        <f t="shared" ca="1" si="34"/>
        <v>0</v>
      </c>
      <c r="S30" s="102">
        <f t="shared" ca="1" si="34"/>
        <v>0</v>
      </c>
      <c r="T30" s="102">
        <f t="shared" ref="T30:AC30" ca="1" si="35">IF(T4="MAT",T22-T21,0)</f>
        <v>0</v>
      </c>
      <c r="U30" s="102">
        <f t="shared" ca="1" si="35"/>
        <v>0</v>
      </c>
      <c r="V30" s="102">
        <f t="shared" ca="1" si="35"/>
        <v>0</v>
      </c>
      <c r="W30" s="102">
        <f t="shared" ca="1" si="35"/>
        <v>0</v>
      </c>
      <c r="X30" s="102">
        <f t="shared" ca="1" si="35"/>
        <v>0</v>
      </c>
      <c r="Y30" s="102">
        <f t="shared" ca="1" si="35"/>
        <v>0</v>
      </c>
      <c r="Z30" s="102">
        <f t="shared" ca="1" si="35"/>
        <v>0</v>
      </c>
      <c r="AA30" s="102">
        <f t="shared" ca="1" si="35"/>
        <v>0</v>
      </c>
      <c r="AB30" s="102">
        <f t="shared" ca="1" si="35"/>
        <v>0</v>
      </c>
      <c r="AC30" s="102">
        <f t="shared" ca="1" si="35"/>
        <v>0</v>
      </c>
    </row>
    <row r="31" spans="2:29" x14ac:dyDescent="0.25">
      <c r="B31" s="107" t="s">
        <v>369</v>
      </c>
      <c r="C31" s="101" t="s">
        <v>274</v>
      </c>
      <c r="D31" s="107" t="s">
        <v>374</v>
      </c>
      <c r="E31" s="102">
        <f ca="1">E29+E30</f>
        <v>116.24999999999999</v>
      </c>
      <c r="F31" s="102">
        <f t="shared" ref="F31:S31" ca="1" si="36">F29+F30</f>
        <v>232.49999999999997</v>
      </c>
      <c r="G31" s="102">
        <f t="shared" ca="1" si="36"/>
        <v>348.74999999999994</v>
      </c>
      <c r="H31" s="102">
        <f t="shared" ca="1" si="36"/>
        <v>464.99999999999994</v>
      </c>
      <c r="I31" s="102">
        <f t="shared" ca="1" si="36"/>
        <v>581.24999999999989</v>
      </c>
      <c r="J31" s="102">
        <f t="shared" ca="1" si="36"/>
        <v>697.49999999999989</v>
      </c>
      <c r="K31" s="102">
        <f t="shared" ca="1" si="36"/>
        <v>697.49999999999989</v>
      </c>
      <c r="L31" s="102">
        <f t="shared" ca="1" si="36"/>
        <v>487.05862857142836</v>
      </c>
      <c r="M31" s="102">
        <f t="shared" ca="1" si="36"/>
        <v>254.22237714285691</v>
      </c>
      <c r="N31" s="102">
        <f t="shared" ca="1" si="36"/>
        <v>7.9491977142855603</v>
      </c>
      <c r="O31" s="102">
        <f t="shared" ca="1" si="36"/>
        <v>0</v>
      </c>
      <c r="P31" s="102">
        <f t="shared" ca="1" si="36"/>
        <v>0</v>
      </c>
      <c r="Q31" s="102">
        <f t="shared" ca="1" si="36"/>
        <v>0</v>
      </c>
      <c r="R31" s="102">
        <f t="shared" ca="1" si="36"/>
        <v>0</v>
      </c>
      <c r="S31" s="102">
        <f t="shared" ca="1" si="36"/>
        <v>0</v>
      </c>
      <c r="T31" s="102">
        <f t="shared" ref="T31:AC31" ca="1" si="37">T29+T30</f>
        <v>0</v>
      </c>
      <c r="U31" s="102">
        <f t="shared" ca="1" si="37"/>
        <v>0</v>
      </c>
      <c r="V31" s="102">
        <f t="shared" ca="1" si="37"/>
        <v>0</v>
      </c>
      <c r="W31" s="102">
        <f t="shared" ca="1" si="37"/>
        <v>0</v>
      </c>
      <c r="X31" s="102">
        <f t="shared" ca="1" si="37"/>
        <v>0</v>
      </c>
      <c r="Y31" s="102">
        <f t="shared" ca="1" si="37"/>
        <v>0</v>
      </c>
      <c r="Z31" s="102">
        <f t="shared" ca="1" si="37"/>
        <v>0</v>
      </c>
      <c r="AA31" s="102">
        <f t="shared" ca="1" si="37"/>
        <v>0</v>
      </c>
      <c r="AB31" s="102">
        <f t="shared" ca="1" si="37"/>
        <v>0</v>
      </c>
      <c r="AC31" s="102">
        <f t="shared" ca="1" si="37"/>
        <v>0</v>
      </c>
    </row>
    <row r="32" spans="2:29" x14ac:dyDescent="0.25">
      <c r="B32" s="107" t="s">
        <v>370</v>
      </c>
      <c r="C32" s="101" t="s">
        <v>243</v>
      </c>
      <c r="D32" s="107" t="s">
        <v>375</v>
      </c>
      <c r="E32" s="102">
        <f t="shared" ref="E32:S32" ca="1" si="38">IF(E4="Normal",MIN(E31,(E21-E22)),0)</f>
        <v>0</v>
      </c>
      <c r="F32" s="102">
        <f t="shared" ca="1" si="38"/>
        <v>0</v>
      </c>
      <c r="G32" s="102">
        <f t="shared" ca="1" si="38"/>
        <v>0</v>
      </c>
      <c r="H32" s="102">
        <f t="shared" ca="1" si="38"/>
        <v>0</v>
      </c>
      <c r="I32" s="102">
        <f t="shared" ca="1" si="38"/>
        <v>0</v>
      </c>
      <c r="J32" s="102">
        <f t="shared" ca="1" si="38"/>
        <v>0</v>
      </c>
      <c r="K32" s="102">
        <f t="shared" ca="1" si="38"/>
        <v>210.4413714285715</v>
      </c>
      <c r="L32" s="102">
        <f t="shared" ca="1" si="38"/>
        <v>232.83625142857144</v>
      </c>
      <c r="M32" s="102">
        <f t="shared" ca="1" si="38"/>
        <v>246.27317942857135</v>
      </c>
      <c r="N32" s="102">
        <f t="shared" ca="1" si="38"/>
        <v>7.9491977142855603</v>
      </c>
      <c r="O32" s="102">
        <f t="shared" ca="1" si="38"/>
        <v>0</v>
      </c>
      <c r="P32" s="102">
        <f t="shared" ca="1" si="38"/>
        <v>0</v>
      </c>
      <c r="Q32" s="102">
        <f t="shared" ca="1" si="38"/>
        <v>0</v>
      </c>
      <c r="R32" s="102">
        <f t="shared" ca="1" si="38"/>
        <v>0</v>
      </c>
      <c r="S32" s="102">
        <f t="shared" ca="1" si="38"/>
        <v>0</v>
      </c>
      <c r="T32" s="102">
        <f t="shared" ref="T32:AC32" ca="1" si="39">IF(T4="Normal",MIN(T31,(T21-T22)),0)</f>
        <v>0</v>
      </c>
      <c r="U32" s="102">
        <f t="shared" ca="1" si="39"/>
        <v>0</v>
      </c>
      <c r="V32" s="102">
        <f t="shared" ca="1" si="39"/>
        <v>0</v>
      </c>
      <c r="W32" s="102">
        <f t="shared" ca="1" si="39"/>
        <v>0</v>
      </c>
      <c r="X32" s="102">
        <f t="shared" ca="1" si="39"/>
        <v>0</v>
      </c>
      <c r="Y32" s="102">
        <f t="shared" ca="1" si="39"/>
        <v>0</v>
      </c>
      <c r="Z32" s="102">
        <f t="shared" ca="1" si="39"/>
        <v>0</v>
      </c>
      <c r="AA32" s="102">
        <f t="shared" ca="1" si="39"/>
        <v>0</v>
      </c>
      <c r="AB32" s="102">
        <f t="shared" ca="1" si="39"/>
        <v>0</v>
      </c>
      <c r="AC32" s="102">
        <f t="shared" ca="1" si="39"/>
        <v>0</v>
      </c>
    </row>
    <row r="33" spans="2:29" x14ac:dyDescent="0.25">
      <c r="B33" s="107" t="s">
        <v>336</v>
      </c>
      <c r="C33" s="101" t="s">
        <v>275</v>
      </c>
      <c r="D33" s="107" t="s">
        <v>376</v>
      </c>
      <c r="E33" s="102">
        <f ca="1">E31-E32</f>
        <v>116.24999999999999</v>
      </c>
      <c r="F33" s="102">
        <f t="shared" ref="F33:S33" ca="1" si="40">F31-F32</f>
        <v>232.49999999999997</v>
      </c>
      <c r="G33" s="102">
        <f t="shared" ca="1" si="40"/>
        <v>348.74999999999994</v>
      </c>
      <c r="H33" s="102">
        <f t="shared" ca="1" si="40"/>
        <v>464.99999999999994</v>
      </c>
      <c r="I33" s="102">
        <f t="shared" ca="1" si="40"/>
        <v>581.24999999999989</v>
      </c>
      <c r="J33" s="102">
        <f t="shared" ca="1" si="40"/>
        <v>697.49999999999989</v>
      </c>
      <c r="K33" s="102">
        <f t="shared" ca="1" si="40"/>
        <v>487.05862857142836</v>
      </c>
      <c r="L33" s="102">
        <f t="shared" ca="1" si="40"/>
        <v>254.22237714285691</v>
      </c>
      <c r="M33" s="102">
        <f t="shared" ca="1" si="40"/>
        <v>7.9491977142855603</v>
      </c>
      <c r="N33" s="102">
        <f t="shared" ca="1" si="40"/>
        <v>0</v>
      </c>
      <c r="O33" s="102">
        <f t="shared" ca="1" si="40"/>
        <v>0</v>
      </c>
      <c r="P33" s="102">
        <f t="shared" ca="1" si="40"/>
        <v>0</v>
      </c>
      <c r="Q33" s="102">
        <f t="shared" ca="1" si="40"/>
        <v>0</v>
      </c>
      <c r="R33" s="102">
        <f t="shared" ca="1" si="40"/>
        <v>0</v>
      </c>
      <c r="S33" s="102">
        <f t="shared" ca="1" si="40"/>
        <v>0</v>
      </c>
      <c r="T33" s="102">
        <f t="shared" ref="T33:AC33" ca="1" si="41">T31-T32</f>
        <v>0</v>
      </c>
      <c r="U33" s="102">
        <f t="shared" ca="1" si="41"/>
        <v>0</v>
      </c>
      <c r="V33" s="102">
        <f t="shared" ca="1" si="41"/>
        <v>0</v>
      </c>
      <c r="W33" s="102">
        <f t="shared" ca="1" si="41"/>
        <v>0</v>
      </c>
      <c r="X33" s="102">
        <f t="shared" ca="1" si="41"/>
        <v>0</v>
      </c>
      <c r="Y33" s="102">
        <f t="shared" ca="1" si="41"/>
        <v>0</v>
      </c>
      <c r="Z33" s="102">
        <f t="shared" ca="1" si="41"/>
        <v>0</v>
      </c>
      <c r="AA33" s="102">
        <f t="shared" ca="1" si="41"/>
        <v>0</v>
      </c>
      <c r="AB33" s="102">
        <f t="shared" ca="1" si="41"/>
        <v>0</v>
      </c>
      <c r="AC33" s="102">
        <f t="shared" ca="1" si="41"/>
        <v>0</v>
      </c>
    </row>
    <row r="34" spans="2:29" x14ac:dyDescent="0.25">
      <c r="B34" s="107"/>
      <c r="C34" s="100"/>
      <c r="D34" s="108"/>
      <c r="E34" s="102"/>
      <c r="F34" s="102"/>
      <c r="G34" s="102"/>
      <c r="H34" s="102"/>
      <c r="I34" s="102"/>
      <c r="J34" s="102"/>
      <c r="K34" s="102"/>
      <c r="L34" s="102"/>
      <c r="M34" s="102"/>
      <c r="N34" s="102"/>
    </row>
    <row r="35" spans="2:29" x14ac:dyDescent="0.25">
      <c r="B35" s="107"/>
      <c r="C35" s="100"/>
      <c r="D35" s="108"/>
      <c r="E35" s="102"/>
      <c r="F35" s="102"/>
      <c r="G35" s="102"/>
      <c r="H35" s="102"/>
      <c r="I35" s="102"/>
      <c r="J35" s="102"/>
      <c r="K35" s="102"/>
      <c r="L35" s="102"/>
      <c r="M35" s="102"/>
      <c r="N35" s="102"/>
    </row>
    <row r="36" spans="2:29" x14ac:dyDescent="0.25">
      <c r="E36" s="50"/>
      <c r="F36" s="50"/>
      <c r="G36" s="50"/>
      <c r="H36" s="50"/>
      <c r="I36" s="50"/>
      <c r="J36" s="50"/>
      <c r="K36" s="103"/>
      <c r="L36" s="50"/>
      <c r="M36" s="50"/>
      <c r="N36" s="50"/>
    </row>
    <row r="37" spans="2:29" x14ac:dyDescent="0.25">
      <c r="E37" s="1"/>
      <c r="F37" s="1"/>
      <c r="G37" s="1"/>
      <c r="H37" s="1"/>
      <c r="I37" s="1"/>
      <c r="J37" s="1"/>
      <c r="K37" s="1"/>
      <c r="L37" s="1"/>
      <c r="M37" s="1"/>
      <c r="N37" s="1"/>
    </row>
    <row r="38" spans="2:29" x14ac:dyDescent="0.25">
      <c r="E38" s="1"/>
      <c r="F38" s="1"/>
      <c r="G38" s="1"/>
      <c r="H38" s="1"/>
      <c r="I38" s="1"/>
      <c r="J38" s="1"/>
      <c r="K38" s="1"/>
      <c r="L38" s="1"/>
      <c r="M38" s="1"/>
      <c r="N38" s="1"/>
    </row>
    <row r="39" spans="2:29" x14ac:dyDescent="0.25">
      <c r="E39" s="1"/>
      <c r="F39" s="1"/>
      <c r="G39" s="1"/>
      <c r="H39" s="1"/>
      <c r="I39" s="1"/>
      <c r="J39" s="1"/>
      <c r="K39" s="1"/>
      <c r="L39" s="1"/>
      <c r="M39" s="1"/>
      <c r="N39"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Loss</vt:lpstr>
      <vt:lpstr>1.Eff.tax  rate (distrtn)</vt:lpstr>
      <vt:lpstr>Loss.</vt:lpstr>
      <vt:lpstr>Sheet2</vt:lpstr>
      <vt:lpstr>MERC-EM</vt:lpstr>
      <vt:lpstr>Loss &amp; MAT Cr</vt:lpstr>
      <vt:lpstr>Sheet1</vt:lpstr>
      <vt:lpstr>Correction-formula</vt:lpstr>
      <vt:lpstr>MAT Cr,DTL</vt:lpstr>
      <vt:lpstr>MAT schedl (abridged)</vt:lpstr>
      <vt:lpstr>MAT schedule dtl</vt:lpstr>
      <vt:lpstr>P&amp;L</vt:lpstr>
      <vt:lpstr>'1.Eff.tax  rate (distrtn)'!Print_Area</vt:lpstr>
      <vt:lpstr>'MAT schedl (abridged)'!Print_Area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PITALE ANUP</dc:creator>
  <cp:lastModifiedBy>PITALE ANUP</cp:lastModifiedBy>
  <cp:lastPrinted>2023-07-06T11:53:40Z</cp:lastPrinted>
  <dcterms:created xsi:type="dcterms:W3CDTF">2023-06-07T04:11:15Z</dcterms:created>
  <dcterms:modified xsi:type="dcterms:W3CDTF">2024-09-27T11:55:19Z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8ed580-7b07-4de3-bcfc-baf51b37f0d5_Enabled">
    <vt:lpwstr>true</vt:lpwstr>
  </property>
  <property fmtid="{D5CDD505-2E9C-101B-9397-08002B2CF9AE}" pid="3" name="MSIP_Label_9b8ed580-7b07-4de3-bcfc-baf51b37f0d5_SetDate">
    <vt:lpwstr>2023-08-07T10:12:09Z</vt:lpwstr>
  </property>
  <property fmtid="{D5CDD505-2E9C-101B-9397-08002B2CF9AE}" pid="4" name="MSIP_Label_9b8ed580-7b07-4de3-bcfc-baf51b37f0d5_Method">
    <vt:lpwstr>Privileged</vt:lpwstr>
  </property>
  <property fmtid="{D5CDD505-2E9C-101B-9397-08002B2CF9AE}" pid="5" name="MSIP_Label_9b8ed580-7b07-4de3-bcfc-baf51b37f0d5_Name">
    <vt:lpwstr>9b8ed580-7b07-4de3-bcfc-baf51b37f0d5</vt:lpwstr>
  </property>
  <property fmtid="{D5CDD505-2E9C-101B-9397-08002B2CF9AE}" pid="6" name="MSIP_Label_9b8ed580-7b07-4de3-bcfc-baf51b37f0d5_SiteId">
    <vt:lpwstr>04ea39e3-ac5b-4971-937c-8344c97a4509</vt:lpwstr>
  </property>
  <property fmtid="{D5CDD505-2E9C-101B-9397-08002B2CF9AE}" pid="7" name="MSIP_Label_9b8ed580-7b07-4de3-bcfc-baf51b37f0d5_ActionId">
    <vt:lpwstr>76009961-4ebe-4a5b-80c3-d776c9237583</vt:lpwstr>
  </property>
  <property fmtid="{D5CDD505-2E9C-101B-9397-08002B2CF9AE}" pid="8" name="MSIP_Label_9b8ed580-7b07-4de3-bcfc-baf51b37f0d5_ContentBits">
    <vt:lpwstr>0</vt:lpwstr>
  </property>
</Properties>
</file>